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decleir/Downloads/"/>
    </mc:Choice>
  </mc:AlternateContent>
  <xr:revisionPtr revIDLastSave="0" documentId="8_{BA03F95E-CBA2-E945-A20C-6A1F9FC163A6}" xr6:coauthVersionLast="45" xr6:coauthVersionMax="45" xr10:uidLastSave="{00000000-0000-0000-0000-000000000000}"/>
  <workbookProtection workbookAlgorithmName="SHA-512" workbookHashValue="4C+HtPO1frqWRdILx/5h2Aj/0mSfjpbexKCuOuctUq4XVmt5eRVRbZ7o/tB6XUStpcPx9zeCC178gxJLzsIyOQ==" workbookSaltValue="6vt+vH2NQxjDso8R9EynkA==" workbookSpinCount="100000" lockStructure="1"/>
  <bookViews>
    <workbookView xWindow="0" yWindow="460" windowWidth="33600" windowHeight="19540" activeTab="5" xr2:uid="{00000000-000D-0000-FFFF-FFFF00000000}"/>
  </bookViews>
  <sheets>
    <sheet name="WELKOM" sheetId="7" r:id="rId1"/>
    <sheet name="Berekening verblijf+overschrijd" sheetId="1" r:id="rId2"/>
    <sheet name="Berekening enkel verblijfsgebon" sheetId="6" r:id="rId3"/>
    <sheet name="Vergelijking indien kindrek" sheetId="3" r:id="rId4"/>
    <sheet name="Berekening verblijf vrij" sheetId="5" r:id="rId5"/>
    <sheet name="Tabel" sheetId="4" r:id="rId6"/>
  </sheets>
  <definedNames>
    <definedName name="_xlnm.Print_Area" localSheetId="1">'Berekening verblijf+overschrijd'!$B$2:$P$55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6" l="1"/>
  <c r="C11" i="1"/>
  <c r="C7" i="1"/>
  <c r="C24" i="1"/>
  <c r="C25" i="1"/>
  <c r="V16" i="4"/>
  <c r="W16" i="4"/>
  <c r="Z13" i="4"/>
  <c r="V13" i="4"/>
  <c r="V17" i="4"/>
  <c r="V18" i="4"/>
  <c r="V19" i="4"/>
  <c r="V14" i="4"/>
  <c r="V1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X16" i="4"/>
  <c r="Y16" i="4"/>
  <c r="Z16" i="4"/>
  <c r="W17" i="4"/>
  <c r="X17" i="4"/>
  <c r="Y17" i="4"/>
  <c r="Z17" i="4"/>
  <c r="Z18" i="4"/>
  <c r="Z19" i="4"/>
  <c r="Z20" i="4"/>
  <c r="E26" i="1"/>
  <c r="F26" i="1"/>
  <c r="C26" i="1"/>
  <c r="C26" i="6"/>
  <c r="I7" i="6"/>
  <c r="I6" i="6"/>
  <c r="C23" i="6"/>
  <c r="C17" i="6"/>
  <c r="C20" i="6"/>
  <c r="C22" i="6"/>
  <c r="E35" i="6"/>
  <c r="C11" i="6"/>
  <c r="C10" i="6"/>
  <c r="C9" i="6"/>
  <c r="C7" i="6"/>
  <c r="C6" i="6"/>
  <c r="C5" i="6"/>
  <c r="C13" i="6"/>
  <c r="C15" i="6"/>
  <c r="C19" i="6"/>
  <c r="E34" i="6"/>
  <c r="C24" i="6"/>
  <c r="C25" i="6"/>
  <c r="C12" i="6"/>
  <c r="C8" i="6"/>
  <c r="D16" i="5"/>
  <c r="E16" i="5"/>
  <c r="E36" i="6"/>
  <c r="C52" i="6"/>
  <c r="F52" i="6"/>
  <c r="C14" i="6"/>
  <c r="C16" i="6"/>
  <c r="E31" i="6"/>
  <c r="E32" i="6"/>
  <c r="C18" i="5"/>
  <c r="E21" i="5"/>
  <c r="E23" i="5"/>
  <c r="C8" i="1"/>
  <c r="D21" i="5"/>
  <c r="D23" i="5"/>
  <c r="C23" i="5"/>
  <c r="E25" i="5"/>
  <c r="C21" i="3"/>
  <c r="H15" i="3"/>
  <c r="C21" i="1"/>
  <c r="C19" i="1"/>
  <c r="D25" i="5"/>
  <c r="C25" i="5"/>
  <c r="I27" i="4"/>
  <c r="I28" i="4"/>
  <c r="I29" i="4"/>
  <c r="I30" i="4"/>
  <c r="I31" i="4"/>
  <c r="I13" i="4"/>
  <c r="I14" i="4"/>
  <c r="I15" i="4"/>
  <c r="I16" i="4"/>
  <c r="I17" i="4"/>
  <c r="I18" i="4"/>
  <c r="I19" i="4"/>
  <c r="I20" i="4"/>
  <c r="I21" i="4"/>
  <c r="I22" i="4"/>
  <c r="I23" i="4"/>
  <c r="I24" i="4"/>
  <c r="W19" i="4"/>
  <c r="W18" i="4"/>
  <c r="R31" i="4"/>
  <c r="P30" i="4"/>
  <c r="P31" i="4"/>
  <c r="M31" i="4"/>
  <c r="L31" i="4"/>
  <c r="J31" i="4"/>
  <c r="Q29" i="4"/>
  <c r="Q30" i="4"/>
  <c r="Q31" i="4"/>
  <c r="O30" i="4"/>
  <c r="R29" i="4"/>
  <c r="M28" i="4"/>
  <c r="M29" i="4"/>
  <c r="O27" i="4"/>
  <c r="O28" i="4"/>
  <c r="L28" i="4"/>
  <c r="L29" i="4"/>
  <c r="J26" i="4"/>
  <c r="J27" i="4"/>
  <c r="J28" i="4"/>
  <c r="J29" i="4"/>
  <c r="R26" i="4"/>
  <c r="P24" i="4"/>
  <c r="P25" i="4"/>
  <c r="P26" i="4"/>
  <c r="P27" i="4"/>
  <c r="P28" i="4"/>
  <c r="O25" i="4"/>
  <c r="M25" i="4"/>
  <c r="M26" i="4"/>
  <c r="L25" i="4"/>
  <c r="L26" i="4"/>
  <c r="R23" i="4"/>
  <c r="R24" i="4"/>
  <c r="Q23" i="4"/>
  <c r="Q24" i="4"/>
  <c r="Q25" i="4"/>
  <c r="Q26" i="4"/>
  <c r="Q27" i="4"/>
  <c r="J23" i="4"/>
  <c r="J24" i="4"/>
  <c r="O22" i="4"/>
  <c r="M22" i="4"/>
  <c r="M23" i="4"/>
  <c r="L22" i="4"/>
  <c r="L23" i="4"/>
  <c r="R21" i="4"/>
  <c r="O19" i="4"/>
  <c r="O20" i="4"/>
  <c r="M19" i="4"/>
  <c r="M20" i="4"/>
  <c r="L19" i="4"/>
  <c r="L20" i="4"/>
  <c r="R18" i="4"/>
  <c r="Q18" i="4"/>
  <c r="Q19" i="4"/>
  <c r="Q20" i="4"/>
  <c r="Q21" i="4"/>
  <c r="P17" i="4"/>
  <c r="P18" i="4"/>
  <c r="P19" i="4"/>
  <c r="P20" i="4"/>
  <c r="P21" i="4"/>
  <c r="P22" i="4"/>
  <c r="J18" i="4"/>
  <c r="J19" i="4"/>
  <c r="J20" i="4"/>
  <c r="J21" i="4"/>
  <c r="M16" i="4"/>
  <c r="M17" i="4"/>
  <c r="L16" i="4"/>
  <c r="L17" i="4"/>
  <c r="R15" i="4"/>
  <c r="R16" i="4"/>
  <c r="J15" i="4"/>
  <c r="J16" i="4"/>
  <c r="Q13" i="4"/>
  <c r="Q14" i="4"/>
  <c r="Q15" i="4"/>
  <c r="Q16" i="4"/>
  <c r="P13" i="4"/>
  <c r="P14" i="4"/>
  <c r="P15" i="4"/>
  <c r="O13" i="4"/>
  <c r="O14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13" i="4"/>
  <c r="M14" i="4"/>
  <c r="L13" i="4"/>
  <c r="L14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J13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D12" i="4"/>
  <c r="D11" i="4"/>
  <c r="D10" i="4"/>
  <c r="D9" i="4"/>
  <c r="D8" i="4"/>
  <c r="P6" i="4"/>
  <c r="Q6" i="4"/>
  <c r="R6" i="4"/>
  <c r="L6" i="4"/>
  <c r="M6" i="4"/>
  <c r="N6" i="4"/>
  <c r="H6" i="4"/>
  <c r="I6" i="4"/>
  <c r="J6" i="4"/>
  <c r="D6" i="4"/>
  <c r="E6" i="4"/>
  <c r="F6" i="4"/>
  <c r="C14" i="3"/>
  <c r="C13" i="1"/>
  <c r="C15" i="1"/>
  <c r="C12" i="1"/>
  <c r="X18" i="4"/>
  <c r="Y18" i="4"/>
  <c r="X19" i="4"/>
  <c r="Y19" i="4"/>
  <c r="H17" i="3"/>
  <c r="L29" i="3"/>
  <c r="C14" i="1"/>
  <c r="C16" i="1"/>
  <c r="E36" i="1"/>
  <c r="C52" i="1"/>
  <c r="F52" i="1"/>
  <c r="C20" i="1"/>
  <c r="C22" i="3"/>
  <c r="E34" i="1"/>
  <c r="H33" i="3"/>
  <c r="H16" i="3"/>
  <c r="H34" i="3"/>
  <c r="E26" i="6"/>
  <c r="F26" i="6"/>
  <c r="C29" i="6"/>
  <c r="C12" i="3"/>
  <c r="H13" i="3"/>
  <c r="C11" i="3"/>
  <c r="H12" i="3"/>
  <c r="C22" i="1"/>
  <c r="E35" i="1"/>
  <c r="E32" i="1"/>
  <c r="D30" i="6"/>
  <c r="C34" i="6"/>
  <c r="C44" i="6"/>
  <c r="C35" i="6"/>
  <c r="L12" i="3"/>
  <c r="H30" i="3"/>
  <c r="L30" i="3"/>
  <c r="L13" i="3"/>
  <c r="H31" i="3"/>
  <c r="L31" i="3"/>
  <c r="E31" i="1"/>
  <c r="C18" i="3"/>
  <c r="C17" i="3"/>
  <c r="F10" i="3"/>
  <c r="F15" i="3"/>
  <c r="C29" i="1"/>
  <c r="C50" i="6"/>
  <c r="C36" i="6"/>
  <c r="F44" i="6"/>
  <c r="D31" i="6"/>
  <c r="D32" i="6"/>
  <c r="C38" i="6"/>
  <c r="G11" i="3"/>
  <c r="F28" i="3"/>
  <c r="F16" i="3"/>
  <c r="F17" i="3"/>
  <c r="P18" i="3"/>
  <c r="K10" i="3"/>
  <c r="K28" i="3"/>
  <c r="K29" i="3"/>
  <c r="C35" i="1"/>
  <c r="D30" i="1"/>
  <c r="C34" i="1"/>
  <c r="C44" i="1"/>
  <c r="F44" i="1"/>
  <c r="K31" i="3"/>
  <c r="P38" i="3"/>
  <c r="K30" i="3"/>
  <c r="P31" i="3"/>
  <c r="C39" i="6"/>
  <c r="E38" i="6"/>
  <c r="C45" i="6"/>
  <c r="F50" i="6"/>
  <c r="P11" i="3"/>
  <c r="G29" i="3"/>
  <c r="F33" i="3"/>
  <c r="P29" i="3"/>
  <c r="F34" i="3"/>
  <c r="F35" i="3"/>
  <c r="G12" i="3"/>
  <c r="F19" i="3"/>
  <c r="G13" i="3"/>
  <c r="F20" i="3"/>
  <c r="K11" i="3"/>
  <c r="K13" i="3"/>
  <c r="P20" i="3"/>
  <c r="K12" i="3"/>
  <c r="P13" i="3"/>
  <c r="D32" i="1"/>
  <c r="C38" i="1"/>
  <c r="D31" i="1"/>
  <c r="C50" i="1"/>
  <c r="F50" i="1"/>
  <c r="C36" i="1"/>
  <c r="P36" i="3"/>
  <c r="E39" i="6"/>
  <c r="C40" i="6"/>
  <c r="E40" i="6"/>
  <c r="C53" i="6"/>
  <c r="F45" i="6"/>
  <c r="C46" i="6"/>
  <c r="F21" i="3"/>
  <c r="P19" i="3"/>
  <c r="P22" i="3"/>
  <c r="P12" i="3"/>
  <c r="P15" i="3"/>
  <c r="F22" i="3"/>
  <c r="G31" i="3"/>
  <c r="F38" i="3"/>
  <c r="G30" i="3"/>
  <c r="F37" i="3"/>
  <c r="C39" i="1"/>
  <c r="E38" i="1"/>
  <c r="C45" i="1"/>
  <c r="F45" i="1"/>
  <c r="F46" i="6"/>
  <c r="F47" i="6"/>
  <c r="C47" i="6"/>
  <c r="F53" i="6"/>
  <c r="C54" i="6"/>
  <c r="P30" i="3"/>
  <c r="P33" i="3"/>
  <c r="F40" i="3"/>
  <c r="P37" i="3"/>
  <c r="P40" i="3"/>
  <c r="F39" i="3"/>
  <c r="E39" i="1"/>
  <c r="C40" i="1"/>
  <c r="E40" i="1"/>
  <c r="C46" i="1"/>
  <c r="C53" i="1"/>
  <c r="F54" i="6"/>
  <c r="F55" i="6"/>
  <c r="C55" i="6"/>
  <c r="C54" i="1"/>
  <c r="F53" i="1"/>
  <c r="C47" i="1"/>
  <c r="F46" i="1"/>
  <c r="F47" i="1"/>
  <c r="C55" i="1"/>
  <c r="F54" i="1"/>
  <c r="F55" i="1"/>
</calcChain>
</file>

<file path=xl/sharedStrings.xml><?xml version="1.0" encoding="utf-8"?>
<sst xmlns="http://schemas.openxmlformats.org/spreadsheetml/2006/main" count="266" uniqueCount="140">
  <si>
    <t>bruto kost</t>
  </si>
  <si>
    <t>netto kost</t>
  </si>
  <si>
    <t>OP betaalt</t>
  </si>
  <si>
    <t>OG betaalt bruto</t>
  </si>
  <si>
    <t>OG betaalt netto</t>
  </si>
  <si>
    <t>OP betaalt te weinig</t>
  </si>
  <si>
    <t>OG moet betalen</t>
  </si>
  <si>
    <t>OP moet betalen</t>
  </si>
  <si>
    <t>OG betaalt te veel</t>
  </si>
  <si>
    <t>per kind</t>
  </si>
  <si>
    <t xml:space="preserve">  ° in natura</t>
  </si>
  <si>
    <t xml:space="preserve">   ° onderhoudgeld</t>
  </si>
  <si>
    <t>Het weze % van netto  kost</t>
  </si>
  <si>
    <t xml:space="preserve">  ° kinderbijslag</t>
  </si>
  <si>
    <t xml:space="preserve">  ° onderhoudsgeld</t>
  </si>
  <si>
    <t>In  totaal betaald</t>
  </si>
  <si>
    <t>Aantal kinderen</t>
  </si>
  <si>
    <t>Gemiddeld inkomen OP</t>
  </si>
  <si>
    <t>leefloon alleenstaande</t>
  </si>
  <si>
    <t>Overblijvende middelen OP</t>
  </si>
  <si>
    <t>Gemiddeld inkomen OG</t>
  </si>
  <si>
    <t>(Plus) armoedegerelateerd deel kinderbijslag</t>
  </si>
  <si>
    <t>(Min) Vaste kosten OP</t>
  </si>
  <si>
    <t>(Min) vaste kosten OG</t>
  </si>
  <si>
    <t>Overblijvende middelen OG</t>
  </si>
  <si>
    <t>Aandeel OP in inkomen</t>
  </si>
  <si>
    <t>Aandeel OP in overblijvende middelen</t>
  </si>
  <si>
    <t>Aandeel OG in inkomen</t>
  </si>
  <si>
    <t>Aandeel OG in overblijvende middelen</t>
  </si>
  <si>
    <t>Totale bijdrage in natura OP</t>
  </si>
  <si>
    <t>Bijdrage in natura OG obv verblijf (= 1/2)</t>
  </si>
  <si>
    <t>Bijdrage in natura OP verblijfsoverschrijdende kost (=1/2)</t>
  </si>
  <si>
    <t>Bijdrage in natura OG verblijfsoverschrijdende kost (=1/2)</t>
  </si>
  <si>
    <t>Totale bijdrage in natura OG</t>
  </si>
  <si>
    <t>Totale bedrag kindergeld aan OG</t>
  </si>
  <si>
    <t>Kindergeld onder aftrek steun armoede</t>
  </si>
  <si>
    <t>Kosten kind(eren)</t>
  </si>
  <si>
    <t>elke post even duur - los van buitengewone kosten</t>
  </si>
  <si>
    <t>verblijfsgebonden</t>
  </si>
  <si>
    <t>verblijfsoverschrijdend</t>
  </si>
  <si>
    <t>week/week</t>
  </si>
  <si>
    <t>08/06 + 1/2 vak</t>
  </si>
  <si>
    <t>09/05 + 1/2 vak</t>
  </si>
  <si>
    <t>10/04 + 1/2 vak</t>
  </si>
  <si>
    <t>11/03 + 1/2 vak</t>
  </si>
  <si>
    <t>WE + 1/2 vak</t>
  </si>
  <si>
    <t>OP</t>
  </si>
  <si>
    <t>OG</t>
  </si>
  <si>
    <t>OP betaalt in totaal</t>
  </si>
  <si>
    <t>OG betaalt in totaal</t>
  </si>
  <si>
    <t>OG ontvangt</t>
  </si>
  <si>
    <t>Totale gezinsinkomen</t>
  </si>
  <si>
    <t xml:space="preserve">Berekening verschil kinderbijslag ontvangen </t>
  </si>
  <si>
    <t>Verblijfsgebonden kosten met kinderbijslag</t>
  </si>
  <si>
    <t>Verblijfsoverstijgende kosten zonder kinderbijslag</t>
  </si>
  <si>
    <t>Totaal</t>
  </si>
  <si>
    <t>of kinderbijslag op kindrekening</t>
  </si>
  <si>
    <t>Verhouding inkomsten</t>
  </si>
  <si>
    <t>netto-kost</t>
  </si>
  <si>
    <t xml:space="preserve">  Verblijfsgebonden</t>
  </si>
  <si>
    <t xml:space="preserve">   Ontvangen onderhoudsgeld</t>
  </si>
  <si>
    <t xml:space="preserve">   Verblijfsoverstijgend</t>
  </si>
  <si>
    <t xml:space="preserve">   Vrije correctie</t>
  </si>
  <si>
    <t>Geraamde kosten</t>
  </si>
  <si>
    <t>Verblijfsgebonden kosten</t>
  </si>
  <si>
    <t>Verblijfsoverstijgende kosten</t>
  </si>
  <si>
    <t>Verblijf</t>
  </si>
  <si>
    <t>Verblijfsgebonden kosten zonder kinderbijslag</t>
  </si>
  <si>
    <t>Verblijfsoverstijgende kosten met kinderbijslag</t>
  </si>
  <si>
    <t>Bijdrage in natura OP verblijfsgebonden kost obv verblijf (= 1/2)</t>
  </si>
  <si>
    <t xml:space="preserve">  °  in natura</t>
  </si>
  <si>
    <t>Kinderbijslag (onder aftrek steun armoede)</t>
  </si>
  <si>
    <t>OG betaalt</t>
  </si>
  <si>
    <t xml:space="preserve">OP betaalt </t>
  </si>
  <si>
    <t>KINDREKENING VOOR</t>
  </si>
  <si>
    <t xml:space="preserve">   ° verblijfsoverstijgende kosten</t>
  </si>
  <si>
    <t xml:space="preserve">   ° buitengewone kosten</t>
  </si>
  <si>
    <t>PARAMETERS</t>
  </si>
  <si>
    <t>BEREKENING</t>
  </si>
  <si>
    <t>PROEF</t>
  </si>
  <si>
    <t>EXTRA PARAMETERS - LEEFTIJD KINDEREN</t>
  </si>
  <si>
    <t>INFO</t>
  </si>
  <si>
    <t>Netto inkomen</t>
  </si>
  <si>
    <t>Categorie</t>
  </si>
  <si>
    <t># kids</t>
  </si>
  <si>
    <t>leeftijd</t>
  </si>
  <si>
    <t>#kids</t>
  </si>
  <si>
    <t>match</t>
  </si>
  <si>
    <t>match rij</t>
  </si>
  <si>
    <t>match kol</t>
  </si>
  <si>
    <t>kind</t>
  </si>
  <si>
    <t>=&lt; 2.000 €/mnd</t>
  </si>
  <si>
    <t>CAT 1</t>
  </si>
  <si>
    <t>2.001 tot =&lt; 4.500 €/mnd</t>
  </si>
  <si>
    <t>CAT 2</t>
  </si>
  <si>
    <t>4.501 tot =&lt; 6.000 €/mnd</t>
  </si>
  <si>
    <t>CAT 3</t>
  </si>
  <si>
    <t>&gt; 6.000 €/mnd</t>
  </si>
  <si>
    <t>CAT 4</t>
  </si>
  <si>
    <t>=Blad1!C24</t>
  </si>
  <si>
    <t>Kinderen</t>
  </si>
  <si>
    <t>Leeftijd</t>
  </si>
  <si>
    <t>afgerond</t>
  </si>
  <si>
    <t>Onderhoudsgeld afgerond</t>
  </si>
  <si>
    <t>OG ontvangt van OP</t>
  </si>
  <si>
    <t>OP ontvangt van OG</t>
  </si>
  <si>
    <t>OG betaalt aan OP</t>
  </si>
  <si>
    <t>OP betaalt aan OG</t>
  </si>
  <si>
    <t xml:space="preserve">   Betaalde/ontvangen onderhoudsgeld</t>
  </si>
  <si>
    <t xml:space="preserve">   Ontvangen/betaalde onderhoudsgeld</t>
  </si>
  <si>
    <t xml:space="preserve">zonder </t>
  </si>
  <si>
    <t>kindrekening</t>
  </si>
  <si>
    <t>INDIEN ELK VERBLIJFSGEBONDEN KOSTEN</t>
  </si>
  <si>
    <t>Berekening percentage verblijf</t>
  </si>
  <si>
    <t>Aantal dagen</t>
  </si>
  <si>
    <t>schoolregeling</t>
  </si>
  <si>
    <t>bij moeder</t>
  </si>
  <si>
    <t>bij vader</t>
  </si>
  <si>
    <t>In vakantie</t>
  </si>
  <si>
    <t>Zomervakantie</t>
  </si>
  <si>
    <t xml:space="preserve">  (aantal weken 8-9)</t>
  </si>
  <si>
    <t>Paasvakantie</t>
  </si>
  <si>
    <t>Kerstvakantie</t>
  </si>
  <si>
    <t>Krokusvakantie</t>
  </si>
  <si>
    <t>Herfstvakantie</t>
  </si>
  <si>
    <t>Subtotaal 1</t>
  </si>
  <si>
    <t>Schoolregeling</t>
  </si>
  <si>
    <t>Op 14 dagen</t>
  </si>
  <si>
    <t>Subtotaal 2</t>
  </si>
  <si>
    <t>Percentage</t>
  </si>
  <si>
    <t>-</t>
  </si>
  <si>
    <t>Buitengewone</t>
  </si>
  <si>
    <t>apart te verrekenen</t>
  </si>
  <si>
    <t>Berekening onderhoudsbijdrage als bijdrage in de gewone (= verblijfsgebonden en gewone verblijfsoverschrijdende) uitgaven</t>
  </si>
  <si>
    <t>Berekening onderhoudsbijdrage als bijdrage enkel in de verblijfsgebonden uitgaven</t>
  </si>
  <si>
    <t>https://www.mi-is.be/nl/tools-ocmw/bedragen</t>
  </si>
  <si>
    <t>BV Advocatenkantoor Kris Wellekens </t>
  </si>
  <si>
    <t>Sportstraat 320, 9000 GENT </t>
  </si>
  <si>
    <t>Telefoon: +32(0)9 336 50 30, e-mail: info@advocaat-bemiddelaar.gent </t>
  </si>
  <si>
    <t>http://www.advocaat-bemiddelaar.gent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</si>
</sst>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&quot;€&quot;\ #,##0.00"/>
    <numFmt numFmtId="166" formatCode="#,##0.0000"/>
    <numFmt numFmtId="167" formatCode="#,##0.00\ _€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rgb="FF444444"/>
      <name val="Helvetica"/>
      <family val="2"/>
    </font>
    <font>
      <u/>
      <sz val="20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/>
    <xf numFmtId="165" fontId="0" fillId="0" borderId="0" xfId="0" applyNumberFormat="1" applyBorder="1"/>
    <xf numFmtId="9" fontId="0" fillId="0" borderId="0" xfId="0" applyNumberFormat="1" applyBorder="1"/>
    <xf numFmtId="165" fontId="2" fillId="0" borderId="0" xfId="0" applyNumberFormat="1" applyFont="1" applyBorder="1"/>
    <xf numFmtId="10" fontId="0" fillId="0" borderId="0" xfId="0" applyNumberFormat="1" applyBorder="1"/>
    <xf numFmtId="0" fontId="0" fillId="0" borderId="7" xfId="0" applyBorder="1"/>
    <xf numFmtId="165" fontId="0" fillId="0" borderId="0" xfId="0" applyNumberFormat="1"/>
    <xf numFmtId="0" fontId="0" fillId="0" borderId="0" xfId="0" applyBorder="1" applyAlignment="1">
      <alignment horizontal="center"/>
    </xf>
    <xf numFmtId="0" fontId="2" fillId="0" borderId="4" xfId="0" applyFont="1" applyBorder="1"/>
    <xf numFmtId="165" fontId="10" fillId="0" borderId="0" xfId="0" applyNumberFormat="1" applyFont="1" applyBorder="1"/>
    <xf numFmtId="0" fontId="0" fillId="0" borderId="0" xfId="0" applyFill="1" applyBorder="1"/>
    <xf numFmtId="0" fontId="11" fillId="0" borderId="4" xfId="0" applyFont="1" applyBorder="1"/>
    <xf numFmtId="9" fontId="11" fillId="0" borderId="0" xfId="0" applyNumberFormat="1" applyFont="1" applyBorder="1"/>
    <xf numFmtId="10" fontId="11" fillId="0" borderId="0" xfId="0" applyNumberFormat="1" applyFont="1" applyFill="1" applyBorder="1"/>
    <xf numFmtId="0" fontId="0" fillId="0" borderId="5" xfId="0" applyFill="1" applyBorder="1"/>
    <xf numFmtId="0" fontId="2" fillId="0" borderId="1" xfId="0" applyFont="1" applyBorder="1"/>
    <xf numFmtId="0" fontId="2" fillId="0" borderId="3" xfId="0" applyFont="1" applyBorder="1"/>
    <xf numFmtId="10" fontId="0" fillId="0" borderId="5" xfId="0" applyNumberFormat="1" applyBorder="1"/>
    <xf numFmtId="165" fontId="0" fillId="0" borderId="5" xfId="0" applyNumberFormat="1" applyBorder="1"/>
    <xf numFmtId="165" fontId="2" fillId="0" borderId="5" xfId="0" applyNumberFormat="1" applyFont="1" applyBorder="1"/>
    <xf numFmtId="165" fontId="10" fillId="0" borderId="8" xfId="0" applyNumberFormat="1" applyFont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7" xfId="0" applyFill="1" applyBorder="1"/>
    <xf numFmtId="165" fontId="2" fillId="4" borderId="7" xfId="0" applyNumberFormat="1" applyFont="1" applyFill="1" applyBorder="1"/>
    <xf numFmtId="0" fontId="0" fillId="4" borderId="8" xfId="0" applyFill="1" applyBorder="1"/>
    <xf numFmtId="165" fontId="2" fillId="3" borderId="11" xfId="0" applyNumberFormat="1" applyFont="1" applyFill="1" applyBorder="1"/>
    <xf numFmtId="10" fontId="0" fillId="0" borderId="4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10" fontId="0" fillId="0" borderId="7" xfId="0" applyNumberFormat="1" applyBorder="1"/>
    <xf numFmtId="0" fontId="14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5" borderId="16" xfId="0" quotePrefix="1" applyFill="1" applyBorder="1" applyAlignment="1">
      <alignment horizontal="center"/>
    </xf>
    <xf numFmtId="0" fontId="0" fillId="6" borderId="17" xfId="0" quotePrefix="1" applyFill="1" applyBorder="1" applyAlignment="1">
      <alignment horizontal="center"/>
    </xf>
    <xf numFmtId="0" fontId="0" fillId="7" borderId="17" xfId="0" quotePrefix="1" applyFill="1" applyBorder="1" applyAlignment="1">
      <alignment horizontal="center"/>
    </xf>
    <xf numFmtId="0" fontId="0" fillId="8" borderId="18" xfId="0" quotePrefix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0" fillId="9" borderId="24" xfId="0" applyFill="1" applyBorder="1"/>
    <xf numFmtId="10" fontId="0" fillId="5" borderId="20" xfId="1" quotePrefix="1" applyNumberFormat="1" applyFont="1" applyFill="1" applyBorder="1" applyAlignment="1">
      <alignment horizontal="center"/>
    </xf>
    <xf numFmtId="10" fontId="0" fillId="6" borderId="21" xfId="1" quotePrefix="1" applyNumberFormat="1" applyFont="1" applyFill="1" applyBorder="1" applyAlignment="1">
      <alignment horizontal="center"/>
    </xf>
    <xf numFmtId="10" fontId="0" fillId="7" borderId="21" xfId="1" quotePrefix="1" applyNumberFormat="1" applyFont="1" applyFill="1" applyBorder="1" applyAlignment="1">
      <alignment horizontal="center"/>
    </xf>
    <xf numFmtId="10" fontId="0" fillId="8" borderId="22" xfId="1" quotePrefix="1" applyNumberFormat="1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0" fillId="10" borderId="0" xfId="0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166" fontId="0" fillId="0" borderId="0" xfId="0" applyNumberFormat="1"/>
    <xf numFmtId="3" fontId="0" fillId="0" borderId="25" xfId="0" applyNumberFormat="1" applyBorder="1" applyAlignment="1">
      <alignment horizontal="center"/>
    </xf>
    <xf numFmtId="166" fontId="0" fillId="0" borderId="25" xfId="0" applyNumberFormat="1" applyBorder="1"/>
    <xf numFmtId="3" fontId="0" fillId="0" borderId="0" xfId="0" applyNumberFormat="1"/>
    <xf numFmtId="0" fontId="2" fillId="9" borderId="19" xfId="0" applyFont="1" applyFill="1" applyBorder="1" applyAlignment="1">
      <alignment horizontal="center"/>
    </xf>
    <xf numFmtId="10" fontId="0" fillId="5" borderId="26" xfId="1" quotePrefix="1" applyNumberFormat="1" applyFont="1" applyFill="1" applyBorder="1" applyAlignment="1">
      <alignment horizontal="center"/>
    </xf>
    <xf numFmtId="10" fontId="0" fillId="6" borderId="27" xfId="1" quotePrefix="1" applyNumberFormat="1" applyFont="1" applyFill="1" applyBorder="1" applyAlignment="1">
      <alignment horizontal="center"/>
    </xf>
    <xf numFmtId="10" fontId="0" fillId="7" borderId="27" xfId="1" quotePrefix="1" applyNumberFormat="1" applyFont="1" applyFill="1" applyBorder="1" applyAlignment="1">
      <alignment horizontal="center"/>
    </xf>
    <xf numFmtId="10" fontId="0" fillId="8" borderId="28" xfId="1" quotePrefix="1" applyNumberFormat="1" applyFont="1" applyFill="1" applyBorder="1" applyAlignment="1">
      <alignment horizontal="center"/>
    </xf>
    <xf numFmtId="10" fontId="0" fillId="0" borderId="0" xfId="1" applyNumberFormat="1" applyFont="1"/>
    <xf numFmtId="164" fontId="0" fillId="15" borderId="0" xfId="0" applyNumberFormat="1" applyFill="1"/>
    <xf numFmtId="10" fontId="0" fillId="0" borderId="25" xfId="1" applyNumberFormat="1" applyFont="1" applyBorder="1"/>
    <xf numFmtId="0" fontId="15" fillId="0" borderId="4" xfId="0" applyFont="1" applyFill="1" applyBorder="1" applyAlignment="1">
      <alignment horizontal="right" indent="2"/>
    </xf>
    <xf numFmtId="165" fontId="15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 indent="2"/>
    </xf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165" fontId="0" fillId="0" borderId="0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16" fillId="0" borderId="0" xfId="0" applyNumberFormat="1" applyFont="1" applyBorder="1"/>
    <xf numFmtId="165" fontId="2" fillId="0" borderId="0" xfId="0" applyNumberFormat="1" applyFont="1" applyFill="1" applyBorder="1"/>
    <xf numFmtId="165" fontId="0" fillId="0" borderId="0" xfId="0" applyNumberFormat="1" applyFill="1" applyBorder="1"/>
    <xf numFmtId="9" fontId="11" fillId="0" borderId="5" xfId="0" applyNumberFormat="1" applyFont="1" applyBorder="1"/>
    <xf numFmtId="9" fontId="11" fillId="0" borderId="8" xfId="0" applyNumberFormat="1" applyFont="1" applyBorder="1"/>
    <xf numFmtId="9" fontId="11" fillId="0" borderId="7" xfId="0" applyNumberFormat="1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10" xfId="0" applyFont="1" applyFill="1" applyBorder="1"/>
    <xf numFmtId="165" fontId="2" fillId="5" borderId="11" xfId="0" applyNumberFormat="1" applyFont="1" applyFill="1" applyBorder="1"/>
    <xf numFmtId="0" fontId="2" fillId="5" borderId="11" xfId="0" applyFont="1" applyFill="1" applyBorder="1"/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Protection="1">
      <protection locked="0"/>
    </xf>
    <xf numFmtId="10" fontId="1" fillId="0" borderId="0" xfId="0" applyNumberFormat="1" applyFont="1" applyBorder="1" applyProtection="1">
      <protection locked="0"/>
    </xf>
    <xf numFmtId="165" fontId="1" fillId="0" borderId="7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Border="1" applyProtection="1">
      <protection locked="0"/>
    </xf>
    <xf numFmtId="1" fontId="19" fillId="0" borderId="5" xfId="0" applyNumberFormat="1" applyFont="1" applyBorder="1" applyProtection="1">
      <protection locked="0"/>
    </xf>
    <xf numFmtId="0" fontId="17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8" fillId="0" borderId="25" xfId="0" applyFont="1" applyBorder="1" applyProtection="1"/>
    <xf numFmtId="0" fontId="18" fillId="0" borderId="29" xfId="0" applyFont="1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" fontId="19" fillId="0" borderId="0" xfId="0" applyNumberFormat="1" applyFont="1" applyBorder="1" applyProtection="1"/>
    <xf numFmtId="1" fontId="19" fillId="0" borderId="5" xfId="0" applyNumberFormat="1" applyFont="1" applyBorder="1" applyProtection="1"/>
    <xf numFmtId="1" fontId="0" fillId="0" borderId="0" xfId="0" applyNumberFormat="1" applyBorder="1" applyProtection="1"/>
    <xf numFmtId="1" fontId="0" fillId="0" borderId="5" xfId="0" applyNumberFormat="1" applyBorder="1" applyProtection="1"/>
    <xf numFmtId="0" fontId="18" fillId="0" borderId="4" xfId="0" applyFont="1" applyBorder="1" applyProtection="1"/>
    <xf numFmtId="0" fontId="18" fillId="0" borderId="0" xfId="0" applyFont="1" applyBorder="1" applyProtection="1"/>
    <xf numFmtId="167" fontId="18" fillId="0" borderId="0" xfId="0" applyNumberFormat="1" applyFont="1" applyBorder="1" applyProtection="1"/>
    <xf numFmtId="1" fontId="18" fillId="0" borderId="0" xfId="0" applyNumberFormat="1" applyFont="1" applyBorder="1" applyProtection="1"/>
    <xf numFmtId="1" fontId="18" fillId="0" borderId="5" xfId="0" applyNumberFormat="1" applyFont="1" applyBorder="1" applyProtection="1"/>
    <xf numFmtId="1" fontId="18" fillId="0" borderId="25" xfId="0" applyNumberFormat="1" applyFont="1" applyBorder="1" applyProtection="1"/>
    <xf numFmtId="1" fontId="18" fillId="0" borderId="29" xfId="0" applyNumberFormat="1" applyFont="1" applyBorder="1" applyProtection="1"/>
    <xf numFmtId="167" fontId="0" fillId="0" borderId="5" xfId="0" applyNumberFormat="1" applyBorder="1" applyProtection="1"/>
    <xf numFmtId="3" fontId="3" fillId="0" borderId="2" xfId="0" applyNumberFormat="1" applyFont="1" applyBorder="1" applyProtection="1"/>
    <xf numFmtId="1" fontId="3" fillId="0" borderId="2" xfId="0" applyNumberFormat="1" applyFont="1" applyBorder="1" applyProtection="1"/>
    <xf numFmtId="1" fontId="3" fillId="0" borderId="3" xfId="0" applyNumberFormat="1" applyFont="1" applyBorder="1" applyProtection="1"/>
    <xf numFmtId="9" fontId="3" fillId="0" borderId="7" xfId="0" applyNumberFormat="1" applyFont="1" applyBorder="1" applyProtection="1"/>
    <xf numFmtId="0" fontId="2" fillId="3" borderId="1" xfId="0" applyFont="1" applyFill="1" applyBorder="1" applyProtection="1"/>
    <xf numFmtId="0" fontId="2" fillId="3" borderId="3" xfId="0" applyFont="1" applyFill="1" applyBorder="1" applyProtection="1"/>
    <xf numFmtId="0" fontId="0" fillId="0" borderId="0" xfId="0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2" fillId="3" borderId="8" xfId="0" applyFont="1" applyFill="1" applyBorder="1" applyProtection="1"/>
    <xf numFmtId="0" fontId="2" fillId="5" borderId="1" xfId="0" applyFont="1" applyFill="1" applyBorder="1" applyProtection="1"/>
    <xf numFmtId="0" fontId="2" fillId="5" borderId="3" xfId="0" applyFont="1" applyFill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5" borderId="6" xfId="0" applyFont="1" applyFill="1" applyBorder="1" applyProtection="1"/>
    <xf numFmtId="0" fontId="0" fillId="5" borderId="8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2" fillId="0" borderId="4" xfId="0" applyFont="1" applyBorder="1" applyProtection="1"/>
    <xf numFmtId="0" fontId="9" fillId="0" borderId="4" xfId="0" applyFont="1" applyBorder="1" applyProtection="1"/>
    <xf numFmtId="165" fontId="0" fillId="0" borderId="0" xfId="0" applyNumberFormat="1" applyBorder="1" applyProtection="1"/>
    <xf numFmtId="165" fontId="0" fillId="0" borderId="5" xfId="0" applyNumberFormat="1" applyBorder="1" applyProtection="1"/>
    <xf numFmtId="9" fontId="0" fillId="0" borderId="5" xfId="0" applyNumberFormat="1" applyBorder="1" applyProtection="1"/>
    <xf numFmtId="165" fontId="2" fillId="0" borderId="0" xfId="0" applyNumberFormat="1" applyFont="1" applyBorder="1" applyProtection="1"/>
    <xf numFmtId="9" fontId="0" fillId="0" borderId="0" xfId="0" applyNumberFormat="1" applyBorder="1" applyProtection="1"/>
    <xf numFmtId="0" fontId="0" fillId="0" borderId="5" xfId="0" applyFont="1" applyBorder="1" applyProtection="1"/>
    <xf numFmtId="165" fontId="10" fillId="0" borderId="5" xfId="0" applyNumberFormat="1" applyFont="1" applyBorder="1" applyProtection="1"/>
    <xf numFmtId="165" fontId="1" fillId="0" borderId="5" xfId="0" applyNumberFormat="1" applyFont="1" applyBorder="1" applyProtection="1"/>
    <xf numFmtId="10" fontId="0" fillId="0" borderId="5" xfId="0" applyNumberFormat="1" applyBorder="1" applyProtection="1"/>
    <xf numFmtId="165" fontId="2" fillId="2" borderId="9" xfId="0" applyNumberFormat="1" applyFont="1" applyFill="1" applyBorder="1" applyProtection="1"/>
    <xf numFmtId="165" fontId="2" fillId="0" borderId="5" xfId="0" applyNumberFormat="1" applyFont="1" applyBorder="1" applyProtection="1"/>
    <xf numFmtId="165" fontId="2" fillId="0" borderId="7" xfId="0" applyNumberFormat="1" applyFont="1" applyBorder="1" applyProtection="1"/>
    <xf numFmtId="165" fontId="1" fillId="0" borderId="5" xfId="0" applyNumberFormat="1" applyFont="1" applyBorder="1" applyProtection="1">
      <protection locked="0"/>
    </xf>
    <xf numFmtId="10" fontId="3" fillId="0" borderId="7" xfId="0" applyNumberFormat="1" applyFont="1" applyBorder="1" applyProtection="1"/>
    <xf numFmtId="10" fontId="3" fillId="0" borderId="8" xfId="0" applyNumberFormat="1" applyFont="1" applyBorder="1" applyProtection="1"/>
    <xf numFmtId="0" fontId="7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10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5" borderId="12" xfId="0" applyFont="1" applyFill="1" applyBorder="1"/>
    <xf numFmtId="0" fontId="0" fillId="0" borderId="4" xfId="0" applyBorder="1" applyAlignment="1">
      <alignment horizontal="left"/>
    </xf>
    <xf numFmtId="10" fontId="1" fillId="0" borderId="0" xfId="0" applyNumberFormat="1" applyFont="1" applyBorder="1" applyProtection="1"/>
    <xf numFmtId="10" fontId="11" fillId="0" borderId="7" xfId="0" applyNumberFormat="1" applyFont="1" applyFill="1" applyBorder="1"/>
    <xf numFmtId="0" fontId="2" fillId="3" borderId="10" xfId="0" applyFont="1" applyFill="1" applyBorder="1" applyProtection="1"/>
    <xf numFmtId="0" fontId="2" fillId="3" borderId="11" xfId="0" applyFont="1" applyFill="1" applyBorder="1" applyProtection="1"/>
    <xf numFmtId="0" fontId="2" fillId="3" borderId="12" xfId="0" applyFont="1" applyFill="1" applyBorder="1" applyProtection="1"/>
    <xf numFmtId="0" fontId="2" fillId="0" borderId="0" xfId="0" applyFont="1" applyFill="1" applyBorder="1" applyProtection="1"/>
    <xf numFmtId="165" fontId="2" fillId="3" borderId="11" xfId="0" applyNumberFormat="1" applyFont="1" applyFill="1" applyBorder="1" applyProtection="1"/>
    <xf numFmtId="0" fontId="1" fillId="0" borderId="0" xfId="0" applyFont="1" applyBorder="1" applyProtection="1"/>
    <xf numFmtId="0" fontId="15" fillId="0" borderId="4" xfId="0" applyFont="1" applyFill="1" applyBorder="1" applyAlignment="1" applyProtection="1">
      <alignment horizontal="right" indent="2"/>
    </xf>
    <xf numFmtId="165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5" xfId="0" applyFill="1" applyBorder="1" applyProtection="1"/>
    <xf numFmtId="165" fontId="1" fillId="0" borderId="0" xfId="0" applyNumberFormat="1" applyFont="1" applyBorder="1" applyProtection="1"/>
    <xf numFmtId="0" fontId="0" fillId="0" borderId="4" xfId="0" applyFill="1" applyBorder="1" applyAlignment="1" applyProtection="1">
      <alignment horizontal="right" indent="2"/>
    </xf>
    <xf numFmtId="0" fontId="1" fillId="0" borderId="0" xfId="0" applyFont="1" applyFill="1" applyBorder="1" applyAlignment="1" applyProtection="1">
      <alignment horizontal="center"/>
    </xf>
    <xf numFmtId="165" fontId="10" fillId="0" borderId="0" xfId="0" applyNumberFormat="1" applyFont="1" applyBorder="1" applyProtection="1"/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Border="1" applyProtection="1"/>
    <xf numFmtId="0" fontId="0" fillId="0" borderId="6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11" fillId="0" borderId="4" xfId="0" applyFont="1" applyBorder="1" applyProtection="1"/>
    <xf numFmtId="9" fontId="11" fillId="0" borderId="0" xfId="0" applyNumberFormat="1" applyFont="1" applyBorder="1" applyProtection="1"/>
    <xf numFmtId="0" fontId="2" fillId="5" borderId="10" xfId="0" applyFont="1" applyFill="1" applyBorder="1" applyProtection="1"/>
    <xf numFmtId="165" fontId="2" fillId="5" borderId="11" xfId="0" applyNumberFormat="1" applyFont="1" applyFill="1" applyBorder="1" applyProtection="1"/>
    <xf numFmtId="0" fontId="2" fillId="5" borderId="11" xfId="0" applyFont="1" applyFill="1" applyBorder="1" applyProtection="1"/>
    <xf numFmtId="0" fontId="2" fillId="5" borderId="12" xfId="0" applyFont="1" applyFill="1" applyBorder="1" applyProtection="1"/>
    <xf numFmtId="165" fontId="16" fillId="0" borderId="0" xfId="0" applyNumberFormat="1" applyFont="1" applyBorder="1" applyProtection="1"/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0" fontId="11" fillId="0" borderId="0" xfId="0" applyNumberFormat="1" applyFont="1" applyFill="1" applyBorder="1" applyProtection="1"/>
    <xf numFmtId="0" fontId="0" fillId="0" borderId="0" xfId="0" applyFill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10" fontId="0" fillId="0" borderId="4" xfId="0" applyNumberFormat="1" applyBorder="1" applyProtection="1"/>
    <xf numFmtId="10" fontId="11" fillId="0" borderId="7" xfId="0" applyNumberFormat="1" applyFont="1" applyFill="1" applyBorder="1" applyProtection="1"/>
    <xf numFmtId="165" fontId="10" fillId="0" borderId="8" xfId="0" applyNumberFormat="1" applyFont="1" applyBorder="1" applyProtection="1"/>
    <xf numFmtId="10" fontId="0" fillId="0" borderId="6" xfId="0" applyNumberFormat="1" applyBorder="1" applyProtection="1"/>
    <xf numFmtId="10" fontId="0" fillId="0" borderId="8" xfId="0" applyNumberFormat="1" applyBorder="1" applyProtection="1"/>
    <xf numFmtId="10" fontId="0" fillId="0" borderId="7" xfId="0" applyNumberFormat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165" fontId="2" fillId="0" borderId="0" xfId="0" applyNumberFormat="1" applyFont="1" applyFill="1" applyBorder="1" applyProtection="1"/>
    <xf numFmtId="165" fontId="0" fillId="0" borderId="0" xfId="0" applyNumberFormat="1" applyFill="1" applyBorder="1" applyProtection="1"/>
    <xf numFmtId="165" fontId="2" fillId="4" borderId="7" xfId="0" applyNumberFormat="1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9" fontId="11" fillId="0" borderId="5" xfId="0" applyNumberFormat="1" applyFont="1" applyBorder="1" applyProtection="1"/>
    <xf numFmtId="9" fontId="11" fillId="0" borderId="7" xfId="0" applyNumberFormat="1" applyFont="1" applyBorder="1" applyProtection="1"/>
    <xf numFmtId="9" fontId="11" fillId="0" borderId="8" xfId="0" applyNumberFormat="1" applyFont="1" applyBorder="1" applyProtection="1"/>
    <xf numFmtId="0" fontId="20" fillId="0" borderId="0" xfId="2" applyBorder="1"/>
    <xf numFmtId="9" fontId="1" fillId="0" borderId="5" xfId="0" applyNumberFormat="1" applyFont="1" applyBorder="1" applyProtection="1">
      <protection locked="0"/>
    </xf>
    <xf numFmtId="10" fontId="1" fillId="0" borderId="5" xfId="0" applyNumberFormat="1" applyFont="1" applyBorder="1" applyProtection="1">
      <protection locked="0"/>
    </xf>
    <xf numFmtId="10" fontId="1" fillId="0" borderId="8" xfId="0" applyNumberFormat="1" applyFont="1" applyBorder="1" applyProtection="1">
      <protection locked="0"/>
    </xf>
    <xf numFmtId="0" fontId="21" fillId="16" borderId="0" xfId="0" applyFont="1" applyFill="1" applyBorder="1"/>
    <xf numFmtId="0" fontId="0" fillId="16" borderId="0" xfId="0" applyFill="1" applyBorder="1"/>
    <xf numFmtId="0" fontId="22" fillId="16" borderId="0" xfId="2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1" borderId="23" xfId="0" quotePrefix="1" applyFill="1" applyBorder="1" applyAlignment="1">
      <alignment horizontal="center"/>
    </xf>
    <xf numFmtId="0" fontId="0" fillId="11" borderId="0" xfId="0" quotePrefix="1" applyFill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0" xfId="0" applyFill="1" applyAlignment="1">
      <alignment horizont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38100</xdr:rowOff>
    </xdr:from>
    <xdr:to>
      <xdr:col>12</xdr:col>
      <xdr:colOff>6604</xdr:colOff>
      <xdr:row>13</xdr:row>
      <xdr:rowOff>139700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61C8E32-4351-8349-8E9E-B8D8FF3D8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38100"/>
          <a:ext cx="9899904" cy="257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14</xdr:col>
      <xdr:colOff>257175</xdr:colOff>
      <xdr:row>45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CDCE981-49C3-423E-85DD-3D7E9F1DC7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077075"/>
          <a:ext cx="8239125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45</xdr:row>
      <xdr:rowOff>114300</xdr:rowOff>
    </xdr:from>
    <xdr:to>
      <xdr:col>14</xdr:col>
      <xdr:colOff>247650</xdr:colOff>
      <xdr:row>66</xdr:row>
      <xdr:rowOff>19050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3EBDAAE-C8E3-47BA-AA15-1FB1C825D7E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15375"/>
          <a:ext cx="8248650" cy="3905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dvocaat-bemiddelaar.g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-is.be/nl/tools-ocmw/bedragen" TargetMode="Externa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027A-61DC-1149-A52B-BDBE885F0760}">
  <dimension ref="A16:A21"/>
  <sheetViews>
    <sheetView workbookViewId="0">
      <selection activeCell="D20" sqref="A1:XFD1048576"/>
    </sheetView>
  </sheetViews>
  <sheetFormatPr baseColWidth="10" defaultRowHeight="15" x14ac:dyDescent="0.2"/>
  <cols>
    <col min="1" max="16384" width="10.83203125" style="246"/>
  </cols>
  <sheetData>
    <row r="16" spans="1:1" ht="26" x14ac:dyDescent="0.3">
      <c r="A16" s="245" t="s">
        <v>136</v>
      </c>
    </row>
    <row r="17" spans="1:1" ht="26" x14ac:dyDescent="0.3">
      <c r="A17" s="245" t="s">
        <v>137</v>
      </c>
    </row>
    <row r="18" spans="1:1" ht="26" x14ac:dyDescent="0.3">
      <c r="A18" s="245" t="s">
        <v>138</v>
      </c>
    </row>
    <row r="21" spans="1:1" ht="26" x14ac:dyDescent="0.3">
      <c r="A21" s="247" t="s">
        <v>139</v>
      </c>
    </row>
  </sheetData>
  <sheetProtection algorithmName="SHA-512" hashValue="7+eMnuhLRq1mTrc6GqLeAUcfWWmeYq3GO1YX1wM+9drGDzgJIGpo+dLquGDaRX/yyyxCwWVvGiPB9h8wo63Juw==" saltValue="8r+h/q/Oif0U58xvGxgJNA==" spinCount="100000" sheet="1" objects="1" scenarios="1" selectLockedCells="1" selectUnlockedCells="1"/>
  <hyperlinks>
    <hyperlink ref="A21" r:id="rId1" xr:uid="{BDA883D3-9F57-714E-B6E1-9F2F6507080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8"/>
  <sheetViews>
    <sheetView topLeftCell="A2" zoomScaleNormal="100" zoomScalePageLayoutView="42" workbookViewId="0">
      <selection activeCell="C23" sqref="C23"/>
    </sheetView>
  </sheetViews>
  <sheetFormatPr baseColWidth="10" defaultColWidth="8.83203125" defaultRowHeight="15" x14ac:dyDescent="0.2"/>
  <cols>
    <col min="2" max="2" width="58.83203125" customWidth="1"/>
    <col min="3" max="3" width="12.83203125" customWidth="1"/>
    <col min="6" max="6" width="9.5" customWidth="1"/>
    <col min="8" max="8" width="35.6640625" customWidth="1"/>
    <col min="9" max="9" width="9.5" customWidth="1"/>
    <col min="10" max="10" width="10.83203125" customWidth="1"/>
    <col min="11" max="11" width="2.5" customWidth="1"/>
    <col min="12" max="12" width="10.6640625" customWidth="1"/>
    <col min="13" max="13" width="12.6640625" customWidth="1"/>
    <col min="14" max="14" width="2.5" customWidth="1"/>
    <col min="16" max="16" width="12.6640625" bestFit="1" customWidth="1"/>
  </cols>
  <sheetData>
    <row r="1" spans="2:16" ht="16" thickBot="1" x14ac:dyDescent="0.25"/>
    <row r="2" spans="2:16" ht="16" thickBot="1" x14ac:dyDescent="0.25">
      <c r="B2" s="26" t="s">
        <v>133</v>
      </c>
      <c r="C2" s="27"/>
      <c r="D2" s="27"/>
      <c r="E2" s="27"/>
      <c r="F2" s="28"/>
      <c r="G2" s="27"/>
      <c r="H2" s="28"/>
    </row>
    <row r="3" spans="2:16" ht="16" thickBot="1" x14ac:dyDescent="0.25"/>
    <row r="4" spans="2:16" ht="16" thickBot="1" x14ac:dyDescent="0.25">
      <c r="B4" s="26" t="s">
        <v>77</v>
      </c>
      <c r="C4" s="27"/>
      <c r="D4" s="27"/>
      <c r="E4" s="27"/>
      <c r="F4" s="28"/>
      <c r="H4" s="26" t="s">
        <v>80</v>
      </c>
      <c r="I4" s="34"/>
      <c r="J4" s="27"/>
      <c r="K4" s="27"/>
      <c r="L4" s="27"/>
      <c r="M4" s="27"/>
      <c r="N4" s="27"/>
      <c r="O4" s="27"/>
      <c r="P4" s="28"/>
    </row>
    <row r="5" spans="2:16" x14ac:dyDescent="0.2">
      <c r="B5" s="1" t="s">
        <v>16</v>
      </c>
      <c r="C5" s="99">
        <v>2</v>
      </c>
      <c r="D5" s="3"/>
      <c r="E5" s="3"/>
      <c r="F5" s="2"/>
      <c r="H5" s="74" t="s">
        <v>100</v>
      </c>
      <c r="I5" s="75" t="s">
        <v>101</v>
      </c>
      <c r="J5" s="15"/>
      <c r="K5" s="15"/>
      <c r="L5" s="15"/>
      <c r="M5" s="15"/>
      <c r="N5" s="15"/>
      <c r="O5" s="15"/>
      <c r="P5" s="19"/>
    </row>
    <row r="6" spans="2:16" x14ac:dyDescent="0.2">
      <c r="B6" s="1" t="s">
        <v>17</v>
      </c>
      <c r="C6" s="100">
        <v>3000</v>
      </c>
      <c r="D6" s="3"/>
      <c r="E6" s="3"/>
      <c r="F6" s="2"/>
      <c r="H6" s="76">
        <v>1</v>
      </c>
      <c r="I6" s="103">
        <v>11</v>
      </c>
      <c r="J6" s="15"/>
      <c r="K6" s="15"/>
      <c r="L6" s="15"/>
      <c r="M6" s="15"/>
      <c r="N6" s="15"/>
      <c r="O6" s="15"/>
      <c r="P6" s="19"/>
    </row>
    <row r="7" spans="2:16" x14ac:dyDescent="0.2">
      <c r="B7" s="1" t="s">
        <v>22</v>
      </c>
      <c r="C7" s="100">
        <f>I15</f>
        <v>940</v>
      </c>
      <c r="D7" s="3"/>
      <c r="E7" s="3"/>
      <c r="F7" s="2"/>
      <c r="H7" s="76">
        <v>2</v>
      </c>
      <c r="I7" s="103">
        <v>13</v>
      </c>
      <c r="J7" s="15"/>
      <c r="K7" s="15"/>
      <c r="L7" s="15"/>
      <c r="M7" s="15"/>
      <c r="N7" s="15"/>
      <c r="O7" s="15"/>
      <c r="P7" s="19"/>
    </row>
    <row r="8" spans="2:16" x14ac:dyDescent="0.2">
      <c r="B8" s="13" t="s">
        <v>19</v>
      </c>
      <c r="C8" s="14">
        <f>C6-C7</f>
        <v>2060</v>
      </c>
      <c r="D8" s="3"/>
      <c r="E8" s="3"/>
      <c r="F8" s="2"/>
      <c r="H8" s="76">
        <v>3</v>
      </c>
      <c r="I8" s="103"/>
      <c r="J8" s="15"/>
      <c r="K8" s="15"/>
      <c r="L8" s="15"/>
      <c r="M8" s="15"/>
      <c r="N8" s="15"/>
      <c r="O8" s="15"/>
      <c r="P8" s="19"/>
    </row>
    <row r="9" spans="2:16" x14ac:dyDescent="0.2">
      <c r="B9" s="1" t="s">
        <v>20</v>
      </c>
      <c r="C9" s="100">
        <v>2000</v>
      </c>
      <c r="D9" s="3"/>
      <c r="E9" s="3"/>
      <c r="F9" s="2"/>
      <c r="H9" s="76">
        <v>4</v>
      </c>
      <c r="I9" s="103"/>
      <c r="J9" s="15"/>
      <c r="K9" s="15"/>
      <c r="L9" s="15"/>
      <c r="M9" s="15"/>
      <c r="N9" s="15"/>
      <c r="O9" s="15"/>
      <c r="P9" s="19"/>
    </row>
    <row r="10" spans="2:16" x14ac:dyDescent="0.2">
      <c r="B10" s="1" t="s">
        <v>21</v>
      </c>
      <c r="C10" s="100">
        <v>0</v>
      </c>
      <c r="D10" s="3"/>
      <c r="E10" s="15"/>
      <c r="F10" s="2"/>
      <c r="H10" s="78"/>
      <c r="I10" s="77"/>
      <c r="J10" s="15"/>
      <c r="K10" s="15"/>
      <c r="L10" s="15"/>
      <c r="M10" s="15"/>
      <c r="N10" s="15"/>
      <c r="O10" s="15"/>
      <c r="P10" s="19"/>
    </row>
    <row r="11" spans="2:16" x14ac:dyDescent="0.2">
      <c r="B11" s="1" t="s">
        <v>23</v>
      </c>
      <c r="C11" s="100">
        <f>I15</f>
        <v>940</v>
      </c>
      <c r="D11" s="3"/>
      <c r="E11" s="3"/>
      <c r="F11" s="2"/>
      <c r="H11" s="78"/>
      <c r="I11" s="77"/>
      <c r="J11" s="15"/>
      <c r="K11" s="15"/>
      <c r="L11" s="15"/>
      <c r="M11" s="15"/>
      <c r="N11" s="15"/>
      <c r="O11" s="15"/>
      <c r="P11" s="19"/>
    </row>
    <row r="12" spans="2:16" x14ac:dyDescent="0.2">
      <c r="B12" s="1" t="s">
        <v>24</v>
      </c>
      <c r="C12" s="14">
        <f>C9+C10-C11</f>
        <v>1060</v>
      </c>
      <c r="D12" s="3"/>
      <c r="E12" s="3"/>
      <c r="F12" s="2"/>
      <c r="H12" s="78"/>
      <c r="I12" s="79"/>
      <c r="J12" s="15"/>
      <c r="K12" s="15"/>
      <c r="L12" s="15"/>
      <c r="M12" s="15"/>
      <c r="N12" s="15"/>
      <c r="O12" s="15"/>
      <c r="P12" s="19"/>
    </row>
    <row r="13" spans="2:16" ht="16" thickBot="1" x14ac:dyDescent="0.25">
      <c r="B13" s="1" t="s">
        <v>25</v>
      </c>
      <c r="C13" s="9">
        <f>C6/(C6+C9+C10)</f>
        <v>0.6</v>
      </c>
      <c r="D13" s="3"/>
      <c r="E13" s="3"/>
      <c r="F13" s="2"/>
      <c r="H13" s="80"/>
      <c r="I13" s="81"/>
      <c r="J13" s="82"/>
      <c r="K13" s="82"/>
      <c r="L13" s="82"/>
      <c r="M13" s="82"/>
      <c r="N13" s="82"/>
      <c r="O13" s="82"/>
      <c r="P13" s="83"/>
    </row>
    <row r="14" spans="2:16" ht="16" thickBot="1" x14ac:dyDescent="0.25">
      <c r="B14" s="16" t="s">
        <v>26</v>
      </c>
      <c r="C14" s="17">
        <f>C8/(C8+C12)</f>
        <v>0.66025641025641024</v>
      </c>
      <c r="D14" s="3"/>
      <c r="E14" s="3"/>
      <c r="F14" s="2"/>
      <c r="H14" s="96" t="s">
        <v>81</v>
      </c>
      <c r="I14" s="97"/>
      <c r="J14" s="98"/>
      <c r="K14" s="98"/>
      <c r="L14" s="98"/>
      <c r="M14" s="98"/>
      <c r="N14" s="98"/>
      <c r="O14" s="98"/>
      <c r="P14" s="183"/>
    </row>
    <row r="15" spans="2:16" x14ac:dyDescent="0.2">
      <c r="B15" s="1" t="s">
        <v>27</v>
      </c>
      <c r="C15" s="9">
        <f>100%-C13</f>
        <v>0.4</v>
      </c>
      <c r="D15" s="3"/>
      <c r="E15" s="3"/>
      <c r="F15" s="2"/>
      <c r="H15" s="1" t="s">
        <v>18</v>
      </c>
      <c r="I15" s="86">
        <v>940</v>
      </c>
      <c r="J15" s="3"/>
      <c r="K15" s="3"/>
      <c r="L15" s="241" t="s">
        <v>135</v>
      </c>
      <c r="M15" s="3"/>
      <c r="N15" s="3"/>
      <c r="O15" s="3"/>
      <c r="P15" s="2"/>
    </row>
    <row r="16" spans="2:16" ht="16" thickBot="1" x14ac:dyDescent="0.25">
      <c r="B16" s="16" t="s">
        <v>28</v>
      </c>
      <c r="C16" s="17">
        <f>100%-C14</f>
        <v>0.33974358974358976</v>
      </c>
      <c r="D16" s="3"/>
      <c r="E16" s="3"/>
      <c r="F16" s="2"/>
      <c r="H16" s="1"/>
      <c r="I16" s="3" t="s">
        <v>37</v>
      </c>
      <c r="J16" s="3"/>
      <c r="K16" s="3"/>
      <c r="L16" s="3"/>
      <c r="M16" s="3"/>
      <c r="N16" s="3"/>
      <c r="O16" s="3"/>
      <c r="P16" s="2"/>
    </row>
    <row r="17" spans="2:17" x14ac:dyDescent="0.2">
      <c r="B17" s="1" t="s">
        <v>69</v>
      </c>
      <c r="C17" s="101">
        <v>0.5</v>
      </c>
      <c r="D17" s="3"/>
      <c r="E17" s="3"/>
      <c r="F17" s="2"/>
      <c r="H17" s="1"/>
      <c r="I17" s="20" t="s">
        <v>38</v>
      </c>
      <c r="J17" s="21"/>
      <c r="K17" s="3"/>
      <c r="L17" s="20" t="s">
        <v>39</v>
      </c>
      <c r="M17" s="21"/>
      <c r="N17" s="3"/>
      <c r="O17" s="20" t="s">
        <v>131</v>
      </c>
      <c r="P17" s="21"/>
    </row>
    <row r="18" spans="2:17" ht="16" thickBot="1" x14ac:dyDescent="0.25">
      <c r="B18" s="1" t="s">
        <v>31</v>
      </c>
      <c r="C18" s="101">
        <v>0.5</v>
      </c>
      <c r="D18" s="3"/>
      <c r="E18" s="15"/>
      <c r="F18" s="2"/>
      <c r="H18" s="1"/>
      <c r="I18" s="92"/>
      <c r="J18" s="93"/>
      <c r="K18" s="12"/>
      <c r="L18" s="94"/>
      <c r="M18" s="95"/>
      <c r="N18" s="12"/>
      <c r="O18" s="94"/>
      <c r="P18" s="95"/>
    </row>
    <row r="19" spans="2:17" x14ac:dyDescent="0.2">
      <c r="B19" s="16" t="s">
        <v>29</v>
      </c>
      <c r="C19" s="18">
        <f>(C17+C18)/2</f>
        <v>0.5</v>
      </c>
      <c r="D19" s="3"/>
      <c r="E19" s="15"/>
      <c r="F19" s="19"/>
      <c r="G19" s="5"/>
      <c r="H19" s="1"/>
      <c r="I19" s="84" t="s">
        <v>46</v>
      </c>
      <c r="J19" s="85" t="s">
        <v>47</v>
      </c>
      <c r="K19" s="12"/>
      <c r="L19" s="84" t="s">
        <v>46</v>
      </c>
      <c r="M19" s="85" t="s">
        <v>47</v>
      </c>
      <c r="N19" s="12"/>
      <c r="O19" s="184" t="s">
        <v>132</v>
      </c>
      <c r="P19" s="85"/>
    </row>
    <row r="20" spans="2:17" x14ac:dyDescent="0.2">
      <c r="B20" s="1" t="s">
        <v>30</v>
      </c>
      <c r="C20" s="9">
        <f>100%-C17</f>
        <v>0.5</v>
      </c>
      <c r="D20" s="3"/>
      <c r="E20" s="3"/>
      <c r="F20" s="2"/>
      <c r="H20" s="1" t="s">
        <v>40</v>
      </c>
      <c r="I20" s="35">
        <v>0.5</v>
      </c>
      <c r="J20" s="22">
        <v>0.5</v>
      </c>
      <c r="K20" s="9"/>
      <c r="L20" s="35">
        <v>0.5</v>
      </c>
      <c r="M20" s="22">
        <v>0.5</v>
      </c>
      <c r="N20" s="3"/>
      <c r="O20" s="35"/>
      <c r="P20" s="22"/>
    </row>
    <row r="21" spans="2:17" x14ac:dyDescent="0.2">
      <c r="B21" s="1" t="s">
        <v>32</v>
      </c>
      <c r="C21" s="9">
        <f>100%-C18</f>
        <v>0.5</v>
      </c>
      <c r="D21" s="3"/>
      <c r="E21" s="3"/>
      <c r="F21" s="2"/>
      <c r="H21" s="1" t="s">
        <v>41</v>
      </c>
      <c r="I21" s="35">
        <v>0.44650000000000001</v>
      </c>
      <c r="J21" s="22">
        <v>0.55349999999999999</v>
      </c>
      <c r="K21" s="9"/>
      <c r="L21" s="35">
        <v>0.5</v>
      </c>
      <c r="M21" s="22">
        <v>0.5</v>
      </c>
      <c r="N21" s="3"/>
      <c r="O21" s="35"/>
      <c r="P21" s="22"/>
    </row>
    <row r="22" spans="2:17" x14ac:dyDescent="0.2">
      <c r="B22" s="16" t="s">
        <v>33</v>
      </c>
      <c r="C22" s="18">
        <f>SUM(C20:C21)/2</f>
        <v>0.5</v>
      </c>
      <c r="D22" s="3"/>
      <c r="E22" s="15"/>
      <c r="F22" s="19"/>
      <c r="H22" s="1" t="s">
        <v>42</v>
      </c>
      <c r="I22" s="35">
        <v>0.39579999999999999</v>
      </c>
      <c r="J22" s="22">
        <v>0.60199999999999998</v>
      </c>
      <c r="K22" s="9"/>
      <c r="L22" s="35">
        <v>0.15</v>
      </c>
      <c r="M22" s="22">
        <v>0.85</v>
      </c>
      <c r="N22" s="3"/>
      <c r="O22" s="35"/>
      <c r="P22" s="22"/>
    </row>
    <row r="23" spans="2:17" x14ac:dyDescent="0.2">
      <c r="B23" s="1" t="s">
        <v>34</v>
      </c>
      <c r="C23" s="100">
        <v>300</v>
      </c>
      <c r="D23" s="3"/>
      <c r="E23" s="3"/>
      <c r="F23" s="2"/>
      <c r="H23" s="1" t="s">
        <v>43</v>
      </c>
      <c r="I23" s="35">
        <v>0.34520000000000001</v>
      </c>
      <c r="J23" s="22">
        <v>0.65480000000000005</v>
      </c>
      <c r="K23" s="9"/>
      <c r="L23" s="35">
        <v>0.15</v>
      </c>
      <c r="M23" s="22">
        <v>0.85</v>
      </c>
      <c r="N23" s="3"/>
      <c r="O23" s="35"/>
      <c r="P23" s="22"/>
    </row>
    <row r="24" spans="2:17" x14ac:dyDescent="0.2">
      <c r="B24" s="1" t="s">
        <v>35</v>
      </c>
      <c r="C24" s="14">
        <f>C23-C10</f>
        <v>300</v>
      </c>
      <c r="D24" s="3"/>
      <c r="E24" s="3"/>
      <c r="F24" s="2"/>
      <c r="H24" s="1" t="s">
        <v>44</v>
      </c>
      <c r="I24" s="35">
        <v>0.29449999999999998</v>
      </c>
      <c r="J24" s="22">
        <v>0.70550000000000002</v>
      </c>
      <c r="K24" s="9"/>
      <c r="L24" s="35">
        <v>0.05</v>
      </c>
      <c r="M24" s="22">
        <v>0.95</v>
      </c>
      <c r="N24" s="3"/>
      <c r="O24" s="35"/>
      <c r="P24" s="22"/>
    </row>
    <row r="25" spans="2:17" x14ac:dyDescent="0.2">
      <c r="B25" s="1" t="s">
        <v>51</v>
      </c>
      <c r="C25" s="14">
        <f>C6+C9+C24+C10</f>
        <v>5300</v>
      </c>
      <c r="D25" s="3"/>
      <c r="E25" s="15"/>
      <c r="F25" s="19"/>
      <c r="H25" s="1" t="s">
        <v>45</v>
      </c>
      <c r="I25" s="35">
        <v>0.24379999999999999</v>
      </c>
      <c r="J25" s="22">
        <v>0.75619999999999998</v>
      </c>
      <c r="K25" s="9"/>
      <c r="L25" s="35">
        <v>0.05</v>
      </c>
      <c r="M25" s="22">
        <v>0.95</v>
      </c>
      <c r="N25" s="3"/>
      <c r="O25" s="35"/>
      <c r="P25" s="22"/>
    </row>
    <row r="26" spans="2:17" ht="16" thickBot="1" x14ac:dyDescent="0.25">
      <c r="B26" s="4" t="s">
        <v>36</v>
      </c>
      <c r="C26" s="102">
        <f>F26</f>
        <v>1298.5</v>
      </c>
      <c r="D26" s="10"/>
      <c r="E26" s="186">
        <f>Tabel!Z20</f>
        <v>0.245</v>
      </c>
      <c r="F26" s="25">
        <f>C25*E26</f>
        <v>1298.5</v>
      </c>
      <c r="H26" s="4"/>
      <c r="I26" s="36"/>
      <c r="J26" s="37"/>
      <c r="K26" s="38"/>
      <c r="L26" s="36"/>
      <c r="M26" s="37"/>
      <c r="N26" s="10"/>
      <c r="O26" s="36"/>
      <c r="P26" s="37"/>
    </row>
    <row r="27" spans="2:17" ht="16" thickBot="1" x14ac:dyDescent="0.25">
      <c r="H27" s="3"/>
      <c r="I27" s="9"/>
      <c r="J27" s="9"/>
      <c r="K27" s="9"/>
      <c r="L27" s="9"/>
      <c r="M27" s="9"/>
      <c r="N27" s="3"/>
      <c r="O27" s="9"/>
      <c r="P27" s="9"/>
    </row>
    <row r="28" spans="2:17" ht="16" thickBot="1" x14ac:dyDescent="0.25">
      <c r="B28" s="26" t="s">
        <v>78</v>
      </c>
      <c r="C28" s="29"/>
      <c r="D28" s="29"/>
      <c r="E28" s="29"/>
      <c r="F28" s="30"/>
      <c r="H28" s="3"/>
      <c r="I28" s="9"/>
      <c r="J28" s="9"/>
      <c r="K28" s="9"/>
      <c r="L28" s="9"/>
      <c r="M28" s="9"/>
      <c r="N28" s="3"/>
      <c r="O28" s="3"/>
      <c r="P28" s="3"/>
    </row>
    <row r="29" spans="2:17" x14ac:dyDescent="0.2">
      <c r="B29" s="1" t="s">
        <v>0</v>
      </c>
      <c r="C29" s="6">
        <f>C26</f>
        <v>1298.5</v>
      </c>
      <c r="D29" s="6"/>
      <c r="E29" s="3"/>
      <c r="F29" s="2"/>
      <c r="H29" s="172"/>
      <c r="I29" s="173"/>
      <c r="J29" s="173"/>
      <c r="K29" s="173"/>
      <c r="L29" s="173"/>
      <c r="M29" s="116"/>
      <c r="N29" s="116"/>
      <c r="O29" s="139"/>
      <c r="P29" s="139"/>
      <c r="Q29" s="139"/>
    </row>
    <row r="30" spans="2:17" x14ac:dyDescent="0.2">
      <c r="B30" s="1" t="s">
        <v>1</v>
      </c>
      <c r="C30" s="6"/>
      <c r="D30" s="6">
        <f>C29-C24</f>
        <v>998.5</v>
      </c>
      <c r="E30" s="3"/>
      <c r="F30" s="2"/>
      <c r="H30" s="174"/>
      <c r="I30" s="173"/>
      <c r="J30" s="173"/>
      <c r="K30" s="173"/>
      <c r="L30" s="173"/>
      <c r="M30" s="116"/>
      <c r="N30" s="116"/>
      <c r="O30" s="139"/>
      <c r="P30" s="139"/>
      <c r="Q30" s="139"/>
    </row>
    <row r="31" spans="2:17" x14ac:dyDescent="0.2">
      <c r="B31" s="1" t="s">
        <v>6</v>
      </c>
      <c r="C31" s="6"/>
      <c r="D31" s="6">
        <f>E31*D30</f>
        <v>339.23397435897436</v>
      </c>
      <c r="E31" s="7">
        <f>C16</f>
        <v>0.33974358974358976</v>
      </c>
      <c r="F31" s="2"/>
      <c r="H31" s="174"/>
      <c r="I31" s="175"/>
      <c r="J31" s="175"/>
      <c r="K31" s="175"/>
      <c r="L31" s="176"/>
      <c r="M31" s="116"/>
      <c r="N31" s="116"/>
      <c r="O31" s="139"/>
      <c r="P31" s="139"/>
      <c r="Q31" s="139"/>
    </row>
    <row r="32" spans="2:17" x14ac:dyDescent="0.2">
      <c r="B32" s="1" t="s">
        <v>7</v>
      </c>
      <c r="C32" s="6"/>
      <c r="D32" s="6">
        <f>E32*D30</f>
        <v>659.26602564102564</v>
      </c>
      <c r="E32" s="7">
        <f>C14</f>
        <v>0.66025641025641024</v>
      </c>
      <c r="F32" s="2"/>
      <c r="H32" s="174"/>
      <c r="I32" s="176"/>
      <c r="J32" s="176"/>
      <c r="K32" s="176"/>
      <c r="L32" s="173"/>
      <c r="M32" s="116"/>
      <c r="N32" s="116"/>
      <c r="O32" s="139"/>
      <c r="P32" s="139"/>
      <c r="Q32" s="139"/>
    </row>
    <row r="33" spans="2:17" x14ac:dyDescent="0.2">
      <c r="B33" s="1"/>
      <c r="C33" s="6"/>
      <c r="D33" s="6"/>
      <c r="E33" s="3"/>
      <c r="F33" s="2"/>
      <c r="H33" s="174"/>
      <c r="I33" s="173"/>
      <c r="J33" s="173"/>
      <c r="K33" s="173"/>
      <c r="L33" s="173"/>
      <c r="M33" s="116"/>
      <c r="N33" s="116"/>
      <c r="O33" s="139"/>
      <c r="P33" s="139"/>
      <c r="Q33" s="139"/>
    </row>
    <row r="34" spans="2:17" x14ac:dyDescent="0.2">
      <c r="B34" s="1" t="s">
        <v>2</v>
      </c>
      <c r="C34" s="8">
        <f>C29*E34</f>
        <v>649.25</v>
      </c>
      <c r="D34" s="6"/>
      <c r="E34" s="9">
        <f>C19</f>
        <v>0.5</v>
      </c>
      <c r="F34" s="2"/>
      <c r="H34" s="174"/>
      <c r="I34" s="175"/>
      <c r="J34" s="173"/>
      <c r="K34" s="173"/>
      <c r="L34" s="177"/>
      <c r="M34" s="116"/>
      <c r="N34" s="116"/>
      <c r="O34" s="139"/>
      <c r="P34" s="139"/>
      <c r="Q34" s="139"/>
    </row>
    <row r="35" spans="2:17" x14ac:dyDescent="0.2">
      <c r="B35" s="1" t="s">
        <v>3</v>
      </c>
      <c r="C35" s="6">
        <f>C29*E35</f>
        <v>649.25</v>
      </c>
      <c r="D35" s="6"/>
      <c r="E35" s="9">
        <f>C22</f>
        <v>0.5</v>
      </c>
      <c r="F35" s="2"/>
      <c r="H35" s="174"/>
      <c r="I35" s="173"/>
      <c r="J35" s="173"/>
      <c r="K35" s="173"/>
      <c r="L35" s="173"/>
      <c r="M35" s="116"/>
      <c r="N35" s="116"/>
      <c r="O35" s="139"/>
      <c r="P35" s="139"/>
      <c r="Q35" s="139"/>
    </row>
    <row r="36" spans="2:17" x14ac:dyDescent="0.2">
      <c r="B36" s="1" t="s">
        <v>4</v>
      </c>
      <c r="C36" s="8">
        <f>C35+E36</f>
        <v>349.25</v>
      </c>
      <c r="D36" s="6"/>
      <c r="E36" s="3">
        <f>-C24</f>
        <v>-300</v>
      </c>
      <c r="F36" s="2"/>
      <c r="H36" s="172"/>
      <c r="I36" s="173"/>
      <c r="J36" s="173"/>
      <c r="K36" s="173"/>
      <c r="L36" s="176"/>
      <c r="M36" s="116"/>
      <c r="N36" s="116"/>
      <c r="O36" s="139"/>
      <c r="P36" s="139"/>
      <c r="Q36" s="139"/>
    </row>
    <row r="37" spans="2:17" x14ac:dyDescent="0.2">
      <c r="B37" s="1"/>
      <c r="C37" s="3"/>
      <c r="D37" s="6"/>
      <c r="E37" s="3"/>
      <c r="F37" s="2"/>
      <c r="H37" s="174"/>
      <c r="I37" s="173"/>
      <c r="J37" s="173"/>
      <c r="K37" s="173"/>
      <c r="L37" s="173"/>
      <c r="M37" s="116"/>
      <c r="N37" s="116"/>
      <c r="O37" s="139"/>
      <c r="P37" s="139"/>
      <c r="Q37" s="139"/>
    </row>
    <row r="38" spans="2:17" x14ac:dyDescent="0.2">
      <c r="B38" s="1" t="s">
        <v>5</v>
      </c>
      <c r="C38" s="87">
        <f>D32-C34</f>
        <v>10.016025641025635</v>
      </c>
      <c r="D38" s="88"/>
      <c r="E38" s="87">
        <f>C38/C5</f>
        <v>5.0080128205128176</v>
      </c>
      <c r="F38" s="19" t="s">
        <v>9</v>
      </c>
      <c r="H38" s="174"/>
      <c r="I38" s="173"/>
      <c r="J38" s="173"/>
      <c r="K38" s="173"/>
      <c r="L38" s="173"/>
      <c r="M38" s="178"/>
      <c r="N38" s="116"/>
      <c r="O38" s="139"/>
      <c r="P38" s="139"/>
      <c r="Q38" s="139"/>
    </row>
    <row r="39" spans="2:17" x14ac:dyDescent="0.2">
      <c r="B39" s="1" t="s">
        <v>8</v>
      </c>
      <c r="C39" s="87">
        <f>C36-D31</f>
        <v>10.016025641025635</v>
      </c>
      <c r="D39" s="15"/>
      <c r="E39" s="87">
        <f>C39/C5</f>
        <v>5.0080128205128176</v>
      </c>
      <c r="F39" s="19" t="s">
        <v>9</v>
      </c>
      <c r="H39" s="174"/>
      <c r="I39" s="173"/>
      <c r="J39" s="173"/>
      <c r="K39" s="173"/>
      <c r="L39" s="173"/>
      <c r="M39" s="179"/>
      <c r="N39" s="116"/>
      <c r="O39" s="139"/>
      <c r="P39" s="139"/>
      <c r="Q39" s="139"/>
    </row>
    <row r="40" spans="2:17" ht="16" thickBot="1" x14ac:dyDescent="0.25">
      <c r="B40" s="4" t="s">
        <v>103</v>
      </c>
      <c r="C40" s="32">
        <f>ROUND(C39,0)</f>
        <v>10</v>
      </c>
      <c r="D40" s="31"/>
      <c r="E40" s="32">
        <f>C40/C5</f>
        <v>5</v>
      </c>
      <c r="F40" s="33" t="s">
        <v>9</v>
      </c>
      <c r="H40" s="174"/>
      <c r="I40" s="173"/>
      <c r="J40" s="173"/>
      <c r="K40" s="173"/>
      <c r="L40" s="173"/>
      <c r="M40" s="179"/>
      <c r="N40" s="116"/>
      <c r="O40" s="139"/>
      <c r="P40" s="139"/>
      <c r="Q40" s="139"/>
    </row>
    <row r="41" spans="2:17" ht="16" thickBot="1" x14ac:dyDescent="0.25">
      <c r="H41" s="174"/>
      <c r="I41" s="173"/>
      <c r="J41" s="173"/>
      <c r="K41" s="173"/>
      <c r="L41" s="173"/>
      <c r="M41" s="179"/>
      <c r="N41" s="116"/>
      <c r="O41" s="139"/>
      <c r="P41" s="139"/>
      <c r="Q41" s="139"/>
    </row>
    <row r="42" spans="2:17" ht="16" thickBot="1" x14ac:dyDescent="0.25">
      <c r="B42" s="26" t="s">
        <v>79</v>
      </c>
      <c r="C42" s="29"/>
      <c r="D42" s="29"/>
      <c r="E42" s="29"/>
      <c r="F42" s="28" t="s">
        <v>102</v>
      </c>
      <c r="H42" s="174"/>
      <c r="I42" s="173"/>
      <c r="J42" s="173"/>
      <c r="K42" s="173"/>
      <c r="L42" s="173"/>
      <c r="M42" s="180"/>
      <c r="N42" s="116"/>
      <c r="O42" s="139"/>
      <c r="P42" s="139"/>
      <c r="Q42" s="139"/>
    </row>
    <row r="43" spans="2:17" x14ac:dyDescent="0.2">
      <c r="B43" s="1" t="s">
        <v>48</v>
      </c>
      <c r="C43" s="3"/>
      <c r="D43" s="3"/>
      <c r="E43" s="3"/>
      <c r="F43" s="2"/>
      <c r="H43" s="174"/>
      <c r="I43" s="181"/>
      <c r="J43" s="181"/>
      <c r="K43" s="181"/>
      <c r="L43" s="173"/>
      <c r="M43" s="116"/>
      <c r="N43" s="116"/>
      <c r="O43" s="139"/>
      <c r="P43" s="139"/>
      <c r="Q43" s="139"/>
    </row>
    <row r="44" spans="2:17" x14ac:dyDescent="0.2">
      <c r="B44" s="1" t="s">
        <v>70</v>
      </c>
      <c r="C44" s="6">
        <f>C34</f>
        <v>649.25</v>
      </c>
      <c r="D44" s="3"/>
      <c r="E44" s="3"/>
      <c r="F44" s="23">
        <f>ROUND(C44,0)</f>
        <v>649</v>
      </c>
      <c r="H44" s="174"/>
      <c r="I44" s="176"/>
      <c r="J44" s="176"/>
      <c r="K44" s="176"/>
      <c r="L44" s="173"/>
      <c r="M44" s="116"/>
      <c r="N44" s="116"/>
      <c r="O44" s="139"/>
      <c r="P44" s="139"/>
      <c r="Q44" s="139"/>
    </row>
    <row r="45" spans="2:17" x14ac:dyDescent="0.2">
      <c r="B45" s="1" t="s">
        <v>11</v>
      </c>
      <c r="C45" s="6">
        <f>C38</f>
        <v>10.016025641025635</v>
      </c>
      <c r="D45" s="3"/>
      <c r="E45" s="3"/>
      <c r="F45" s="23">
        <f>ROUND(C45,0)</f>
        <v>10</v>
      </c>
      <c r="H45" s="174"/>
      <c r="I45" s="176"/>
      <c r="J45" s="176"/>
      <c r="K45" s="176"/>
      <c r="L45" s="173"/>
      <c r="M45" s="116"/>
      <c r="N45" s="116"/>
      <c r="O45" s="139"/>
      <c r="P45" s="139"/>
      <c r="Q45" s="139"/>
    </row>
    <row r="46" spans="2:17" x14ac:dyDescent="0.2">
      <c r="B46" s="1"/>
      <c r="C46" s="87">
        <f>SUM(C44:C45)</f>
        <v>659.26602564102564</v>
      </c>
      <c r="D46" s="3"/>
      <c r="E46" s="3"/>
      <c r="F46" s="24">
        <f>ROUND(C46,0)</f>
        <v>659</v>
      </c>
      <c r="H46" s="174"/>
      <c r="I46" s="176"/>
      <c r="J46" s="173"/>
      <c r="K46" s="173"/>
      <c r="L46" s="173"/>
      <c r="M46" s="116"/>
      <c r="N46" s="116"/>
      <c r="O46" s="139"/>
      <c r="P46" s="139"/>
      <c r="Q46" s="139"/>
    </row>
    <row r="47" spans="2:17" x14ac:dyDescent="0.2">
      <c r="B47" s="1" t="s">
        <v>12</v>
      </c>
      <c r="C47" s="17">
        <f>C46/D30</f>
        <v>0.66025641025641024</v>
      </c>
      <c r="D47" s="3"/>
      <c r="E47" s="3"/>
      <c r="F47" s="89">
        <f>F46/D30</f>
        <v>0.65998998497746619</v>
      </c>
      <c r="H47" s="174"/>
      <c r="I47" s="173"/>
      <c r="J47" s="173"/>
      <c r="K47" s="173"/>
      <c r="L47" s="173"/>
      <c r="M47" s="116"/>
      <c r="N47" s="116"/>
      <c r="O47" s="139"/>
      <c r="P47" s="139"/>
      <c r="Q47" s="139"/>
    </row>
    <row r="48" spans="2:17" x14ac:dyDescent="0.2">
      <c r="B48" s="1"/>
      <c r="C48" s="3"/>
      <c r="D48" s="3"/>
      <c r="E48" s="3"/>
      <c r="F48" s="2"/>
      <c r="H48" s="172"/>
      <c r="I48" s="182"/>
      <c r="J48" s="182"/>
      <c r="K48" s="182"/>
      <c r="L48" s="173"/>
      <c r="M48" s="116"/>
      <c r="N48" s="116"/>
      <c r="O48" s="139"/>
      <c r="P48" s="139"/>
      <c r="Q48" s="139"/>
    </row>
    <row r="49" spans="2:17" x14ac:dyDescent="0.2">
      <c r="B49" s="1" t="s">
        <v>49</v>
      </c>
      <c r="C49" s="3"/>
      <c r="D49" s="3"/>
      <c r="E49" s="3"/>
      <c r="F49" s="2"/>
      <c r="H49" s="174"/>
      <c r="I49" s="173"/>
      <c r="J49" s="173"/>
      <c r="K49" s="173"/>
      <c r="L49" s="173"/>
      <c r="M49" s="116"/>
      <c r="N49" s="116"/>
      <c r="O49" s="139"/>
      <c r="P49" s="139"/>
      <c r="Q49" s="139"/>
    </row>
    <row r="50" spans="2:17" x14ac:dyDescent="0.2">
      <c r="B50" s="1" t="s">
        <v>10</v>
      </c>
      <c r="C50" s="6">
        <f>C35</f>
        <v>649.25</v>
      </c>
      <c r="D50" s="3"/>
      <c r="E50" s="3"/>
      <c r="F50" s="23">
        <f>ROUND(C50,0)</f>
        <v>649</v>
      </c>
      <c r="H50" s="174"/>
      <c r="I50" s="173"/>
      <c r="J50" s="173"/>
      <c r="K50" s="173"/>
      <c r="L50" s="173"/>
      <c r="M50" s="116"/>
      <c r="N50" s="116"/>
      <c r="O50" s="139"/>
      <c r="P50" s="139"/>
      <c r="Q50" s="139"/>
    </row>
    <row r="51" spans="2:17" x14ac:dyDescent="0.2">
      <c r="B51" s="1" t="s">
        <v>50</v>
      </c>
      <c r="C51" s="6"/>
      <c r="D51" s="3"/>
      <c r="E51" s="3"/>
      <c r="F51" s="2"/>
      <c r="H51" s="139"/>
      <c r="I51" s="139"/>
      <c r="J51" s="139"/>
      <c r="K51" s="139"/>
      <c r="L51" s="139"/>
      <c r="M51" s="139"/>
      <c r="N51" s="139"/>
      <c r="O51" s="139"/>
      <c r="P51" s="139"/>
      <c r="Q51" s="139"/>
    </row>
    <row r="52" spans="2:17" x14ac:dyDescent="0.2">
      <c r="B52" s="1" t="s">
        <v>13</v>
      </c>
      <c r="C52" s="6">
        <f>E36</f>
        <v>-300</v>
      </c>
      <c r="D52" s="3"/>
      <c r="E52" s="3"/>
      <c r="F52" s="23">
        <f>ROUND(C52,0)</f>
        <v>-300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</row>
    <row r="53" spans="2:17" x14ac:dyDescent="0.2">
      <c r="B53" s="1" t="s">
        <v>14</v>
      </c>
      <c r="C53" s="6">
        <f>-C45</f>
        <v>-10.016025641025635</v>
      </c>
      <c r="D53" s="3"/>
      <c r="E53" s="3"/>
      <c r="F53" s="23">
        <f>ROUND(C53,0)</f>
        <v>-10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</row>
    <row r="54" spans="2:17" x14ac:dyDescent="0.2">
      <c r="B54" s="1" t="s">
        <v>15</v>
      </c>
      <c r="C54" s="8">
        <f>SUM(C50:C53)</f>
        <v>339.23397435897436</v>
      </c>
      <c r="D54" s="3"/>
      <c r="E54" s="3"/>
      <c r="F54" s="24">
        <f>ROUND(C54,0)</f>
        <v>339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</row>
    <row r="55" spans="2:17" ht="16" thickBot="1" x14ac:dyDescent="0.25">
      <c r="B55" s="4" t="s">
        <v>12</v>
      </c>
      <c r="C55" s="91">
        <f>C54/D30</f>
        <v>0.33974358974358976</v>
      </c>
      <c r="D55" s="10"/>
      <c r="E55" s="10"/>
      <c r="F55" s="90">
        <f>F54/D30</f>
        <v>0.33950926389584374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</row>
    <row r="58" spans="2:17" x14ac:dyDescent="0.2">
      <c r="C58" s="11"/>
    </row>
  </sheetData>
  <sheetProtection algorithmName="SHA-512" hashValue="X7ARXHFUCvpnT8SAYhd9TeOTakgpZkEyfsgprvvgGM1o1/sDSI0gIwOBeuNk45T5vG+IAoC6COwVvUY4FwbwkA==" saltValue="bR/icqgPzKyBvylTn4sEXw==" spinCount="100000" sheet="1" objects="1" scenarios="1" selectLockedCells="1"/>
  <hyperlinks>
    <hyperlink ref="L15" r:id="rId1" xr:uid="{492D2388-F888-4C5C-9341-DAD116F1F80B}"/>
  </hyperlinks>
  <pageMargins left="0.25" right="0.25" top="0.75" bottom="0.75" header="0.3" footer="0.3"/>
  <pageSetup paperSize="9" scale="62" orientation="landscape" r:id="rId2"/>
  <headerFooter>
    <oddHeader>&amp;C&amp;"Calibri,Standaard"&amp;K000000&amp;G</oddHeader>
  </headerFooter>
  <rowBreaks count="1" manualBreakCount="1">
    <brk id="5" max="16383" man="1"/>
  </rowBreaks>
  <colBreaks count="1" manualBreakCount="1">
    <brk id="2" max="1048575" man="1"/>
  </colBreaks>
  <legacyDrawingHF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5"/>
  <sheetViews>
    <sheetView workbookViewId="0">
      <selection activeCell="C26" sqref="C26"/>
    </sheetView>
  </sheetViews>
  <sheetFormatPr baseColWidth="10" defaultColWidth="8.83203125" defaultRowHeight="15" x14ac:dyDescent="0.2"/>
  <cols>
    <col min="2" max="2" width="58.83203125" customWidth="1"/>
    <col min="3" max="3" width="12.83203125" customWidth="1"/>
    <col min="6" max="6" width="9.5" customWidth="1"/>
    <col min="8" max="8" width="35.6640625" customWidth="1"/>
    <col min="10" max="10" width="10.83203125" customWidth="1"/>
    <col min="11" max="11" width="2.5" customWidth="1"/>
    <col min="12" max="12" width="10.6640625" customWidth="1"/>
    <col min="13" max="13" width="12.6640625" customWidth="1"/>
    <col min="14" max="14" width="2.5" customWidth="1"/>
    <col min="16" max="16" width="12.6640625" bestFit="1" customWidth="1"/>
  </cols>
  <sheetData>
    <row r="1" spans="2:16" ht="16" thickBot="1" x14ac:dyDescent="0.25"/>
    <row r="2" spans="2:16" ht="16" thickBot="1" x14ac:dyDescent="0.25">
      <c r="B2" s="187" t="s">
        <v>134</v>
      </c>
      <c r="C2" s="188"/>
      <c r="D2" s="188"/>
      <c r="E2" s="188"/>
      <c r="F2" s="189"/>
      <c r="G2" s="190"/>
      <c r="H2" s="190"/>
      <c r="I2" s="139"/>
      <c r="J2" s="139"/>
      <c r="K2" s="139"/>
      <c r="L2" s="139"/>
      <c r="M2" s="139"/>
      <c r="N2" s="139"/>
      <c r="O2" s="139"/>
      <c r="P2" s="139"/>
    </row>
    <row r="3" spans="2:16" ht="16" thickBot="1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2:16" ht="16" thickBot="1" x14ac:dyDescent="0.25">
      <c r="B4" s="187" t="s">
        <v>77</v>
      </c>
      <c r="C4" s="188"/>
      <c r="D4" s="188"/>
      <c r="E4" s="188"/>
      <c r="F4" s="189"/>
      <c r="G4" s="139"/>
      <c r="H4" s="187" t="s">
        <v>80</v>
      </c>
      <c r="I4" s="191"/>
      <c r="J4" s="188"/>
      <c r="K4" s="188"/>
      <c r="L4" s="188"/>
      <c r="M4" s="188"/>
      <c r="N4" s="188"/>
      <c r="O4" s="188"/>
      <c r="P4" s="189"/>
    </row>
    <row r="5" spans="2:16" x14ac:dyDescent="0.2">
      <c r="B5" s="115" t="s">
        <v>16</v>
      </c>
      <c r="C5" s="192">
        <f>'Berekening verblijf+overschrijd'!C5</f>
        <v>2</v>
      </c>
      <c r="D5" s="116"/>
      <c r="E5" s="116"/>
      <c r="F5" s="119"/>
      <c r="G5" s="139"/>
      <c r="H5" s="193" t="s">
        <v>100</v>
      </c>
      <c r="I5" s="194" t="s">
        <v>101</v>
      </c>
      <c r="J5" s="195"/>
      <c r="K5" s="195"/>
      <c r="L5" s="195"/>
      <c r="M5" s="195"/>
      <c r="N5" s="195"/>
      <c r="O5" s="195"/>
      <c r="P5" s="196"/>
    </row>
    <row r="6" spans="2:16" x14ac:dyDescent="0.2">
      <c r="B6" s="115" t="s">
        <v>17</v>
      </c>
      <c r="C6" s="197">
        <f>'Berekening verblijf+overschrijd'!C6</f>
        <v>3000</v>
      </c>
      <c r="D6" s="116"/>
      <c r="E6" s="116"/>
      <c r="F6" s="119"/>
      <c r="G6" s="139"/>
      <c r="H6" s="198">
        <v>1</v>
      </c>
      <c r="I6" s="199">
        <f>'Berekening verblijf+overschrijd'!I6</f>
        <v>11</v>
      </c>
      <c r="J6" s="195"/>
      <c r="K6" s="195"/>
      <c r="L6" s="195"/>
      <c r="M6" s="195"/>
      <c r="N6" s="195"/>
      <c r="O6" s="195"/>
      <c r="P6" s="196"/>
    </row>
    <row r="7" spans="2:16" x14ac:dyDescent="0.2">
      <c r="B7" s="115" t="s">
        <v>22</v>
      </c>
      <c r="C7" s="197">
        <f>'Berekening verblijf+overschrijd'!C7</f>
        <v>940</v>
      </c>
      <c r="D7" s="116"/>
      <c r="E7" s="116"/>
      <c r="F7" s="119"/>
      <c r="G7" s="139"/>
      <c r="H7" s="198">
        <v>2</v>
      </c>
      <c r="I7" s="199">
        <f>'Berekening verblijf+overschrijd'!I7</f>
        <v>13</v>
      </c>
      <c r="J7" s="195"/>
      <c r="K7" s="195"/>
      <c r="L7" s="195"/>
      <c r="M7" s="195"/>
      <c r="N7" s="195"/>
      <c r="O7" s="195"/>
      <c r="P7" s="196"/>
    </row>
    <row r="8" spans="2:16" x14ac:dyDescent="0.2">
      <c r="B8" s="155" t="s">
        <v>19</v>
      </c>
      <c r="C8" s="200">
        <f>C6-C7</f>
        <v>2060</v>
      </c>
      <c r="D8" s="116"/>
      <c r="E8" s="116"/>
      <c r="F8" s="119"/>
      <c r="G8" s="139"/>
      <c r="H8" s="198">
        <v>3</v>
      </c>
      <c r="I8" s="199"/>
      <c r="J8" s="195"/>
      <c r="K8" s="195"/>
      <c r="L8" s="195"/>
      <c r="M8" s="195"/>
      <c r="N8" s="195"/>
      <c r="O8" s="195"/>
      <c r="P8" s="196"/>
    </row>
    <row r="9" spans="2:16" x14ac:dyDescent="0.2">
      <c r="B9" s="115" t="s">
        <v>20</v>
      </c>
      <c r="C9" s="197">
        <f>'Berekening verblijf+overschrijd'!C9</f>
        <v>2000</v>
      </c>
      <c r="D9" s="116"/>
      <c r="E9" s="116"/>
      <c r="F9" s="119"/>
      <c r="G9" s="139"/>
      <c r="H9" s="198">
        <v>4</v>
      </c>
      <c r="I9" s="199"/>
      <c r="J9" s="195"/>
      <c r="K9" s="195"/>
      <c r="L9" s="195"/>
      <c r="M9" s="195"/>
      <c r="N9" s="195"/>
      <c r="O9" s="195"/>
      <c r="P9" s="196"/>
    </row>
    <row r="10" spans="2:16" x14ac:dyDescent="0.2">
      <c r="B10" s="115" t="s">
        <v>21</v>
      </c>
      <c r="C10" s="197">
        <f>'Berekening verblijf+overschrijd'!C10</f>
        <v>0</v>
      </c>
      <c r="D10" s="116"/>
      <c r="E10" s="195"/>
      <c r="F10" s="119"/>
      <c r="G10" s="139"/>
      <c r="H10" s="201"/>
      <c r="I10" s="202"/>
      <c r="J10" s="195"/>
      <c r="K10" s="195"/>
      <c r="L10" s="195"/>
      <c r="M10" s="195"/>
      <c r="N10" s="195"/>
      <c r="O10" s="195"/>
      <c r="P10" s="196"/>
    </row>
    <row r="11" spans="2:16" x14ac:dyDescent="0.2">
      <c r="B11" s="115" t="s">
        <v>23</v>
      </c>
      <c r="C11" s="197">
        <f>'Berekening verblijf+overschrijd'!C11</f>
        <v>940</v>
      </c>
      <c r="D11" s="116"/>
      <c r="E11" s="116"/>
      <c r="F11" s="119"/>
      <c r="G11" s="139"/>
      <c r="H11" s="201"/>
      <c r="I11" s="202"/>
      <c r="J11" s="195"/>
      <c r="K11" s="195"/>
      <c r="L11" s="195"/>
      <c r="M11" s="195"/>
      <c r="N11" s="195"/>
      <c r="O11" s="195"/>
      <c r="P11" s="196"/>
    </row>
    <row r="12" spans="2:16" x14ac:dyDescent="0.2">
      <c r="B12" s="115" t="s">
        <v>24</v>
      </c>
      <c r="C12" s="200">
        <f>C9+C10-C11</f>
        <v>1060</v>
      </c>
      <c r="D12" s="116"/>
      <c r="E12" s="116"/>
      <c r="F12" s="119"/>
      <c r="G12" s="139"/>
      <c r="H12" s="201"/>
      <c r="I12" s="203"/>
      <c r="J12" s="195"/>
      <c r="K12" s="195"/>
      <c r="L12" s="195"/>
      <c r="M12" s="195"/>
      <c r="N12" s="195"/>
      <c r="O12" s="195"/>
      <c r="P12" s="196"/>
    </row>
    <row r="13" spans="2:16" ht="16" thickBot="1" x14ac:dyDescent="0.25">
      <c r="B13" s="115" t="s">
        <v>25</v>
      </c>
      <c r="C13" s="204">
        <f>C6/(C6+C9+C10)</f>
        <v>0.6</v>
      </c>
      <c r="D13" s="116"/>
      <c r="E13" s="116"/>
      <c r="F13" s="119"/>
      <c r="G13" s="139"/>
      <c r="H13" s="205"/>
      <c r="I13" s="206"/>
      <c r="J13" s="207"/>
      <c r="K13" s="207"/>
      <c r="L13" s="207"/>
      <c r="M13" s="207"/>
      <c r="N13" s="207"/>
      <c r="O13" s="207"/>
      <c r="P13" s="208"/>
    </row>
    <row r="14" spans="2:16" ht="16" thickBot="1" x14ac:dyDescent="0.25">
      <c r="B14" s="209" t="s">
        <v>26</v>
      </c>
      <c r="C14" s="210">
        <f>C8/(C8+C12)</f>
        <v>0.66025641025641024</v>
      </c>
      <c r="D14" s="116"/>
      <c r="E14" s="116"/>
      <c r="F14" s="119"/>
      <c r="G14" s="139"/>
      <c r="H14" s="211" t="s">
        <v>81</v>
      </c>
      <c r="I14" s="212"/>
      <c r="J14" s="213"/>
      <c r="K14" s="213"/>
      <c r="L14" s="213"/>
      <c r="M14" s="213"/>
      <c r="N14" s="213"/>
      <c r="O14" s="213"/>
      <c r="P14" s="214"/>
    </row>
    <row r="15" spans="2:16" x14ac:dyDescent="0.2">
      <c r="B15" s="115" t="s">
        <v>27</v>
      </c>
      <c r="C15" s="204">
        <f>100%-C13</f>
        <v>0.4</v>
      </c>
      <c r="D15" s="116"/>
      <c r="E15" s="116"/>
      <c r="F15" s="119"/>
      <c r="G15" s="139"/>
      <c r="H15" s="115" t="s">
        <v>18</v>
      </c>
      <c r="I15" s="215">
        <f>'Berekening verblijf+overschrijd'!I15</f>
        <v>940</v>
      </c>
      <c r="J15" s="116"/>
      <c r="K15" s="116"/>
      <c r="L15" s="116"/>
      <c r="M15" s="116"/>
      <c r="N15" s="116"/>
      <c r="O15" s="116"/>
      <c r="P15" s="119"/>
    </row>
    <row r="16" spans="2:16" ht="16" thickBot="1" x14ac:dyDescent="0.25">
      <c r="B16" s="209" t="s">
        <v>28</v>
      </c>
      <c r="C16" s="210">
        <f>100%-C14</f>
        <v>0.33974358974358976</v>
      </c>
      <c r="D16" s="116"/>
      <c r="E16" s="116"/>
      <c r="F16" s="119"/>
      <c r="G16" s="139"/>
      <c r="H16" s="115"/>
      <c r="I16" s="116" t="s">
        <v>37</v>
      </c>
      <c r="J16" s="116"/>
      <c r="K16" s="116"/>
      <c r="L16" s="116"/>
      <c r="M16" s="116"/>
      <c r="N16" s="116"/>
      <c r="O16" s="116"/>
      <c r="P16" s="119"/>
    </row>
    <row r="17" spans="2:16" x14ac:dyDescent="0.2">
      <c r="B17" s="115" t="s">
        <v>69</v>
      </c>
      <c r="C17" s="185">
        <f>'Berekening verblijf+overschrijd'!C17</f>
        <v>0.5</v>
      </c>
      <c r="D17" s="116"/>
      <c r="E17" s="116"/>
      <c r="F17" s="119"/>
      <c r="G17" s="139"/>
      <c r="H17" s="115"/>
      <c r="I17" s="147" t="s">
        <v>38</v>
      </c>
      <c r="J17" s="149"/>
      <c r="K17" s="116"/>
      <c r="L17" s="147" t="s">
        <v>39</v>
      </c>
      <c r="M17" s="149"/>
      <c r="N17" s="116"/>
      <c r="O17" s="147" t="s">
        <v>131</v>
      </c>
      <c r="P17" s="149"/>
    </row>
    <row r="18" spans="2:16" ht="16" thickBot="1" x14ac:dyDescent="0.25">
      <c r="B18" s="115" t="s">
        <v>31</v>
      </c>
      <c r="C18" s="185" t="s">
        <v>130</v>
      </c>
      <c r="D18" s="116"/>
      <c r="E18" s="195"/>
      <c r="F18" s="119"/>
      <c r="G18" s="139"/>
      <c r="H18" s="115"/>
      <c r="I18" s="216"/>
      <c r="J18" s="217"/>
      <c r="K18" s="173"/>
      <c r="L18" s="218" t="s">
        <v>110</v>
      </c>
      <c r="M18" s="219" t="s">
        <v>111</v>
      </c>
      <c r="N18" s="173"/>
      <c r="O18" s="218"/>
      <c r="P18" s="219"/>
    </row>
    <row r="19" spans="2:16" x14ac:dyDescent="0.2">
      <c r="B19" s="209" t="s">
        <v>29</v>
      </c>
      <c r="C19" s="220">
        <f>C17</f>
        <v>0.5</v>
      </c>
      <c r="D19" s="116"/>
      <c r="E19" s="195"/>
      <c r="F19" s="196"/>
      <c r="G19" s="221"/>
      <c r="H19" s="115"/>
      <c r="I19" s="222" t="s">
        <v>46</v>
      </c>
      <c r="J19" s="223" t="s">
        <v>47</v>
      </c>
      <c r="K19" s="173"/>
      <c r="L19" s="224" t="s">
        <v>132</v>
      </c>
      <c r="M19" s="223"/>
      <c r="N19" s="173"/>
      <c r="O19" s="224" t="s">
        <v>132</v>
      </c>
      <c r="P19" s="223"/>
    </row>
    <row r="20" spans="2:16" x14ac:dyDescent="0.2">
      <c r="B20" s="115" t="s">
        <v>30</v>
      </c>
      <c r="C20" s="204">
        <f>100%-C17</f>
        <v>0.5</v>
      </c>
      <c r="D20" s="116"/>
      <c r="E20" s="116"/>
      <c r="F20" s="119"/>
      <c r="G20" s="139"/>
      <c r="H20" s="115" t="s">
        <v>40</v>
      </c>
      <c r="I20" s="225">
        <v>0.5</v>
      </c>
      <c r="J20" s="165">
        <v>0.5</v>
      </c>
      <c r="K20" s="204"/>
      <c r="L20" s="225"/>
      <c r="M20" s="165"/>
      <c r="N20" s="116"/>
      <c r="O20" s="225"/>
      <c r="P20" s="165"/>
    </row>
    <row r="21" spans="2:16" x14ac:dyDescent="0.2">
      <c r="B21" s="115" t="s">
        <v>32</v>
      </c>
      <c r="C21" s="204" t="s">
        <v>130</v>
      </c>
      <c r="D21" s="116"/>
      <c r="E21" s="116"/>
      <c r="F21" s="119"/>
      <c r="G21" s="139"/>
      <c r="H21" s="115" t="s">
        <v>41</v>
      </c>
      <c r="I21" s="225">
        <v>0.44650000000000001</v>
      </c>
      <c r="J21" s="165">
        <v>0.55349999999999999</v>
      </c>
      <c r="K21" s="204"/>
      <c r="L21" s="225"/>
      <c r="M21" s="165"/>
      <c r="N21" s="116"/>
      <c r="O21" s="225"/>
      <c r="P21" s="165"/>
    </row>
    <row r="22" spans="2:16" x14ac:dyDescent="0.2">
      <c r="B22" s="209" t="s">
        <v>33</v>
      </c>
      <c r="C22" s="220">
        <f>C20</f>
        <v>0.5</v>
      </c>
      <c r="D22" s="116"/>
      <c r="E22" s="195"/>
      <c r="F22" s="196"/>
      <c r="G22" s="139"/>
      <c r="H22" s="115" t="s">
        <v>42</v>
      </c>
      <c r="I22" s="225">
        <v>0.39579999999999999</v>
      </c>
      <c r="J22" s="165">
        <v>0.60199999999999998</v>
      </c>
      <c r="K22" s="204"/>
      <c r="L22" s="225"/>
      <c r="M22" s="165"/>
      <c r="N22" s="116"/>
      <c r="O22" s="225"/>
      <c r="P22" s="165"/>
    </row>
    <row r="23" spans="2:16" x14ac:dyDescent="0.2">
      <c r="B23" s="115" t="s">
        <v>34</v>
      </c>
      <c r="C23" s="197">
        <f>'Berekening verblijf+overschrijd'!C23</f>
        <v>300</v>
      </c>
      <c r="D23" s="116"/>
      <c r="E23" s="116"/>
      <c r="F23" s="119"/>
      <c r="G23" s="139"/>
      <c r="H23" s="115" t="s">
        <v>43</v>
      </c>
      <c r="I23" s="225">
        <v>0.34520000000000001</v>
      </c>
      <c r="J23" s="165">
        <v>0.65480000000000005</v>
      </c>
      <c r="K23" s="204"/>
      <c r="L23" s="225"/>
      <c r="M23" s="165"/>
      <c r="N23" s="116"/>
      <c r="O23" s="225"/>
      <c r="P23" s="165"/>
    </row>
    <row r="24" spans="2:16" x14ac:dyDescent="0.2">
      <c r="B24" s="115" t="s">
        <v>35</v>
      </c>
      <c r="C24" s="200">
        <f>C23-C10</f>
        <v>300</v>
      </c>
      <c r="D24" s="116"/>
      <c r="E24" s="116"/>
      <c r="F24" s="119"/>
      <c r="G24" s="139"/>
      <c r="H24" s="115" t="s">
        <v>44</v>
      </c>
      <c r="I24" s="225">
        <v>0.29449999999999998</v>
      </c>
      <c r="J24" s="165">
        <v>0.70550000000000002</v>
      </c>
      <c r="K24" s="204"/>
      <c r="L24" s="225"/>
      <c r="M24" s="165"/>
      <c r="N24" s="116"/>
      <c r="O24" s="225"/>
      <c r="P24" s="165"/>
    </row>
    <row r="25" spans="2:16" x14ac:dyDescent="0.2">
      <c r="B25" s="115" t="s">
        <v>51</v>
      </c>
      <c r="C25" s="200">
        <f>C6+C9+C24+C10</f>
        <v>5300</v>
      </c>
      <c r="D25" s="116"/>
      <c r="E25" s="195"/>
      <c r="F25" s="196"/>
      <c r="G25" s="139"/>
      <c r="H25" s="115" t="s">
        <v>45</v>
      </c>
      <c r="I25" s="225">
        <v>0.24379999999999999</v>
      </c>
      <c r="J25" s="165">
        <v>0.75619999999999998</v>
      </c>
      <c r="K25" s="204"/>
      <c r="L25" s="225"/>
      <c r="M25" s="165"/>
      <c r="N25" s="116"/>
      <c r="O25" s="225"/>
      <c r="P25" s="165"/>
    </row>
    <row r="26" spans="2:16" ht="16" thickBot="1" x14ac:dyDescent="0.25">
      <c r="B26" s="152" t="s">
        <v>36</v>
      </c>
      <c r="C26" s="102">
        <f>'Berekening verblijf+overschrijd'!C26/2</f>
        <v>649.25</v>
      </c>
      <c r="D26" s="153"/>
      <c r="E26" s="226">
        <f>Tabel!Z20</f>
        <v>0.245</v>
      </c>
      <c r="F26" s="227">
        <f>C25*E26</f>
        <v>1298.5</v>
      </c>
      <c r="G26" s="139"/>
      <c r="H26" s="152"/>
      <c r="I26" s="228"/>
      <c r="J26" s="229"/>
      <c r="K26" s="230"/>
      <c r="L26" s="228"/>
      <c r="M26" s="229"/>
      <c r="N26" s="153"/>
      <c r="O26" s="228"/>
      <c r="P26" s="229"/>
    </row>
    <row r="27" spans="2:16" ht="16" thickBot="1" x14ac:dyDescent="0.25">
      <c r="B27" s="139"/>
      <c r="C27" s="139"/>
      <c r="D27" s="139"/>
      <c r="E27" s="139"/>
      <c r="F27" s="139"/>
      <c r="G27" s="139"/>
      <c r="H27" s="116"/>
      <c r="I27" s="204"/>
      <c r="J27" s="204"/>
      <c r="K27" s="204"/>
      <c r="L27" s="204"/>
      <c r="M27" s="204"/>
      <c r="N27" s="116"/>
      <c r="O27" s="204"/>
      <c r="P27" s="204"/>
    </row>
    <row r="28" spans="2:16" ht="16" thickBot="1" x14ac:dyDescent="0.25">
      <c r="B28" s="187" t="s">
        <v>78</v>
      </c>
      <c r="C28" s="231"/>
      <c r="D28" s="231"/>
      <c r="E28" s="231"/>
      <c r="F28" s="232"/>
      <c r="G28" s="139"/>
      <c r="H28" s="116"/>
      <c r="I28" s="204"/>
      <c r="J28" s="204"/>
      <c r="K28" s="204"/>
      <c r="L28" s="204"/>
      <c r="M28" s="204"/>
      <c r="N28" s="116"/>
      <c r="O28" s="116"/>
      <c r="P28" s="116"/>
    </row>
    <row r="29" spans="2:16" x14ac:dyDescent="0.2">
      <c r="B29" s="115" t="s">
        <v>0</v>
      </c>
      <c r="C29" s="157">
        <f>C26</f>
        <v>649.25</v>
      </c>
      <c r="D29" s="157"/>
      <c r="E29" s="116"/>
      <c r="F29" s="119"/>
      <c r="G29" s="139"/>
      <c r="H29" s="172"/>
      <c r="I29" s="173"/>
      <c r="J29" s="173"/>
      <c r="K29" s="173"/>
      <c r="L29" s="173"/>
      <c r="M29" s="116"/>
      <c r="N29" s="116"/>
      <c r="O29" s="139"/>
      <c r="P29" s="139"/>
    </row>
    <row r="30" spans="2:16" x14ac:dyDescent="0.2">
      <c r="B30" s="115" t="s">
        <v>1</v>
      </c>
      <c r="C30" s="157"/>
      <c r="D30" s="157">
        <f>C29-C24</f>
        <v>349.25</v>
      </c>
      <c r="E30" s="116"/>
      <c r="F30" s="119"/>
      <c r="G30" s="139"/>
      <c r="H30" s="174"/>
      <c r="I30" s="173"/>
      <c r="J30" s="173"/>
      <c r="K30" s="173"/>
      <c r="L30" s="173"/>
      <c r="M30" s="116"/>
      <c r="N30" s="116"/>
      <c r="O30" s="139"/>
      <c r="P30" s="139"/>
    </row>
    <row r="31" spans="2:16" x14ac:dyDescent="0.2">
      <c r="B31" s="115" t="s">
        <v>6</v>
      </c>
      <c r="C31" s="157"/>
      <c r="D31" s="157">
        <f>E31*D30</f>
        <v>118.65544871794873</v>
      </c>
      <c r="E31" s="161">
        <f>C16</f>
        <v>0.33974358974358976</v>
      </c>
      <c r="F31" s="119"/>
      <c r="G31" s="139"/>
      <c r="H31" s="174"/>
      <c r="I31" s="175"/>
      <c r="J31" s="175"/>
      <c r="K31" s="175"/>
      <c r="L31" s="176"/>
      <c r="M31" s="116"/>
      <c r="N31" s="116"/>
      <c r="O31" s="139"/>
      <c r="P31" s="139"/>
    </row>
    <row r="32" spans="2:16" x14ac:dyDescent="0.2">
      <c r="B32" s="115" t="s">
        <v>7</v>
      </c>
      <c r="C32" s="157"/>
      <c r="D32" s="157">
        <f>E32*D30</f>
        <v>230.59455128205127</v>
      </c>
      <c r="E32" s="161">
        <f>C14</f>
        <v>0.66025641025641024</v>
      </c>
      <c r="F32" s="119"/>
      <c r="G32" s="139"/>
      <c r="H32" s="174"/>
      <c r="I32" s="176"/>
      <c r="J32" s="176"/>
      <c r="K32" s="176"/>
      <c r="L32" s="173"/>
      <c r="M32" s="116"/>
      <c r="N32" s="116"/>
      <c r="O32" s="139"/>
      <c r="P32" s="139"/>
    </row>
    <row r="33" spans="2:16" x14ac:dyDescent="0.2">
      <c r="B33" s="115"/>
      <c r="C33" s="157"/>
      <c r="D33" s="157"/>
      <c r="E33" s="116"/>
      <c r="F33" s="119"/>
      <c r="G33" s="139"/>
      <c r="H33" s="174"/>
      <c r="I33" s="173"/>
      <c r="J33" s="173"/>
      <c r="K33" s="173"/>
      <c r="L33" s="173"/>
      <c r="M33" s="116"/>
      <c r="N33" s="116"/>
      <c r="O33" s="139"/>
      <c r="P33" s="139"/>
    </row>
    <row r="34" spans="2:16" x14ac:dyDescent="0.2">
      <c r="B34" s="115" t="s">
        <v>2</v>
      </c>
      <c r="C34" s="160">
        <f>C29*E34</f>
        <v>324.625</v>
      </c>
      <c r="D34" s="157"/>
      <c r="E34" s="204">
        <f>C19</f>
        <v>0.5</v>
      </c>
      <c r="F34" s="119"/>
      <c r="G34" s="139"/>
      <c r="H34" s="174"/>
      <c r="I34" s="175"/>
      <c r="J34" s="173"/>
      <c r="K34" s="173"/>
      <c r="L34" s="177"/>
      <c r="M34" s="116"/>
      <c r="N34" s="116"/>
      <c r="O34" s="139"/>
      <c r="P34" s="139"/>
    </row>
    <row r="35" spans="2:16" x14ac:dyDescent="0.2">
      <c r="B35" s="115" t="s">
        <v>3</v>
      </c>
      <c r="C35" s="157">
        <f>C29*E35</f>
        <v>324.625</v>
      </c>
      <c r="D35" s="157"/>
      <c r="E35" s="204">
        <f>C22</f>
        <v>0.5</v>
      </c>
      <c r="F35" s="119"/>
      <c r="G35" s="139"/>
      <c r="H35" s="174"/>
      <c r="I35" s="173"/>
      <c r="J35" s="173"/>
      <c r="K35" s="173"/>
      <c r="L35" s="173"/>
      <c r="M35" s="116"/>
      <c r="N35" s="116"/>
      <c r="O35" s="139"/>
      <c r="P35" s="139"/>
    </row>
    <row r="36" spans="2:16" x14ac:dyDescent="0.2">
      <c r="B36" s="115" t="s">
        <v>4</v>
      </c>
      <c r="C36" s="160">
        <f>C35+E36</f>
        <v>24.625</v>
      </c>
      <c r="D36" s="157"/>
      <c r="E36" s="116">
        <f>-C24</f>
        <v>-300</v>
      </c>
      <c r="F36" s="119"/>
      <c r="G36" s="139"/>
      <c r="H36" s="172"/>
      <c r="I36" s="173"/>
      <c r="J36" s="173"/>
      <c r="K36" s="173"/>
      <c r="L36" s="176"/>
      <c r="M36" s="116"/>
      <c r="N36" s="116"/>
      <c r="O36" s="139"/>
      <c r="P36" s="139"/>
    </row>
    <row r="37" spans="2:16" x14ac:dyDescent="0.2">
      <c r="B37" s="115"/>
      <c r="C37" s="116"/>
      <c r="D37" s="157"/>
      <c r="E37" s="116"/>
      <c r="F37" s="119"/>
      <c r="G37" s="139"/>
      <c r="H37" s="174"/>
      <c r="I37" s="173"/>
      <c r="J37" s="173"/>
      <c r="K37" s="173"/>
      <c r="L37" s="173"/>
      <c r="M37" s="116"/>
      <c r="N37" s="116"/>
      <c r="O37" s="139"/>
      <c r="P37" s="139"/>
    </row>
    <row r="38" spans="2:16" x14ac:dyDescent="0.2">
      <c r="B38" s="115" t="s">
        <v>5</v>
      </c>
      <c r="C38" s="233">
        <f>D32-C34</f>
        <v>-94.03044871794873</v>
      </c>
      <c r="D38" s="234"/>
      <c r="E38" s="233">
        <f>C38/C5</f>
        <v>-47.015224358974365</v>
      </c>
      <c r="F38" s="196" t="s">
        <v>9</v>
      </c>
      <c r="G38" s="139"/>
      <c r="H38" s="174"/>
      <c r="I38" s="173"/>
      <c r="J38" s="173"/>
      <c r="K38" s="173"/>
      <c r="L38" s="173"/>
      <c r="M38" s="178"/>
      <c r="N38" s="116"/>
      <c r="O38" s="139"/>
      <c r="P38" s="139"/>
    </row>
    <row r="39" spans="2:16" x14ac:dyDescent="0.2">
      <c r="B39" s="115" t="s">
        <v>8</v>
      </c>
      <c r="C39" s="233">
        <f>C36-D31</f>
        <v>-94.03044871794873</v>
      </c>
      <c r="D39" s="195"/>
      <c r="E39" s="233">
        <f>C39/C5</f>
        <v>-47.015224358974365</v>
      </c>
      <c r="F39" s="196" t="s">
        <v>9</v>
      </c>
      <c r="G39" s="139"/>
      <c r="H39" s="174"/>
      <c r="I39" s="173"/>
      <c r="J39" s="173"/>
      <c r="K39" s="173"/>
      <c r="L39" s="173"/>
      <c r="M39" s="179"/>
      <c r="N39" s="116"/>
      <c r="O39" s="139"/>
      <c r="P39" s="139"/>
    </row>
    <row r="40" spans="2:16" ht="16" thickBot="1" x14ac:dyDescent="0.25">
      <c r="B40" s="152" t="s">
        <v>103</v>
      </c>
      <c r="C40" s="235">
        <f>ROUND(C39,0)</f>
        <v>-94</v>
      </c>
      <c r="D40" s="236"/>
      <c r="E40" s="235">
        <f>C40/C5</f>
        <v>-47</v>
      </c>
      <c r="F40" s="237" t="s">
        <v>9</v>
      </c>
      <c r="G40" s="139"/>
      <c r="H40" s="174"/>
      <c r="I40" s="173"/>
      <c r="J40" s="173"/>
      <c r="K40" s="173"/>
      <c r="L40" s="173"/>
      <c r="M40" s="179"/>
      <c r="N40" s="116"/>
      <c r="O40" s="139"/>
      <c r="P40" s="139"/>
    </row>
    <row r="41" spans="2:16" ht="16" thickBot="1" x14ac:dyDescent="0.25">
      <c r="B41" s="139"/>
      <c r="C41" s="139"/>
      <c r="D41" s="139"/>
      <c r="E41" s="139"/>
      <c r="F41" s="139"/>
      <c r="G41" s="139"/>
      <c r="H41" s="174"/>
      <c r="I41" s="173"/>
      <c r="J41" s="173"/>
      <c r="K41" s="173"/>
      <c r="L41" s="173"/>
      <c r="M41" s="179"/>
      <c r="N41" s="116"/>
      <c r="O41" s="139"/>
      <c r="P41" s="139"/>
    </row>
    <row r="42" spans="2:16" ht="16" thickBot="1" x14ac:dyDescent="0.25">
      <c r="B42" s="187" t="s">
        <v>79</v>
      </c>
      <c r="C42" s="231"/>
      <c r="D42" s="231"/>
      <c r="E42" s="231"/>
      <c r="F42" s="189" t="s">
        <v>102</v>
      </c>
      <c r="G42" s="139"/>
      <c r="H42" s="174"/>
      <c r="I42" s="173"/>
      <c r="J42" s="173"/>
      <c r="K42" s="173"/>
      <c r="L42" s="173"/>
      <c r="M42" s="180"/>
      <c r="N42" s="116"/>
      <c r="O42" s="139"/>
      <c r="P42" s="139"/>
    </row>
    <row r="43" spans="2:16" x14ac:dyDescent="0.2">
      <c r="B43" s="115" t="s">
        <v>48</v>
      </c>
      <c r="C43" s="116"/>
      <c r="D43" s="116"/>
      <c r="E43" s="116"/>
      <c r="F43" s="119"/>
      <c r="G43" s="139"/>
      <c r="H43" s="174"/>
      <c r="I43" s="181"/>
      <c r="J43" s="181"/>
      <c r="K43" s="181"/>
      <c r="L43" s="173"/>
      <c r="M43" s="116"/>
      <c r="N43" s="116"/>
      <c r="O43" s="139"/>
      <c r="P43" s="139"/>
    </row>
    <row r="44" spans="2:16" x14ac:dyDescent="0.2">
      <c r="B44" s="115" t="s">
        <v>70</v>
      </c>
      <c r="C44" s="157">
        <f>C34</f>
        <v>324.625</v>
      </c>
      <c r="D44" s="116"/>
      <c r="E44" s="116"/>
      <c r="F44" s="158">
        <f>ROUND(C44,0)</f>
        <v>325</v>
      </c>
      <c r="G44" s="139"/>
      <c r="H44" s="174"/>
      <c r="I44" s="176"/>
      <c r="J44" s="176"/>
      <c r="K44" s="176"/>
      <c r="L44" s="173"/>
      <c r="M44" s="116"/>
      <c r="N44" s="116"/>
      <c r="O44" s="139"/>
      <c r="P44" s="139"/>
    </row>
    <row r="45" spans="2:16" x14ac:dyDescent="0.2">
      <c r="B45" s="115" t="s">
        <v>11</v>
      </c>
      <c r="C45" s="157">
        <f>C38</f>
        <v>-94.03044871794873</v>
      </c>
      <c r="D45" s="116"/>
      <c r="E45" s="116"/>
      <c r="F45" s="158">
        <f>ROUND(C45,0)</f>
        <v>-94</v>
      </c>
      <c r="G45" s="139"/>
      <c r="H45" s="174"/>
      <c r="I45" s="176"/>
      <c r="J45" s="176"/>
      <c r="K45" s="176"/>
      <c r="L45" s="173"/>
      <c r="M45" s="116"/>
      <c r="N45" s="116"/>
      <c r="O45" s="139"/>
      <c r="P45" s="139"/>
    </row>
    <row r="46" spans="2:16" x14ac:dyDescent="0.2">
      <c r="B46" s="115"/>
      <c r="C46" s="160">
        <f>SUM(C44:C45)</f>
        <v>230.59455128205127</v>
      </c>
      <c r="D46" s="116"/>
      <c r="E46" s="116"/>
      <c r="F46" s="167">
        <f>ROUND(C46,0)</f>
        <v>231</v>
      </c>
      <c r="G46" s="139"/>
      <c r="H46" s="174"/>
      <c r="I46" s="176"/>
      <c r="J46" s="173"/>
      <c r="K46" s="173"/>
      <c r="L46" s="173"/>
      <c r="M46" s="116"/>
      <c r="N46" s="116"/>
      <c r="O46" s="139"/>
      <c r="P46" s="139"/>
    </row>
    <row r="47" spans="2:16" x14ac:dyDescent="0.2">
      <c r="B47" s="115" t="s">
        <v>12</v>
      </c>
      <c r="C47" s="210">
        <f>C46/D30</f>
        <v>0.66025641025641024</v>
      </c>
      <c r="D47" s="116"/>
      <c r="E47" s="116"/>
      <c r="F47" s="238">
        <f>F46/D30</f>
        <v>0.66141732283464572</v>
      </c>
      <c r="G47" s="139"/>
      <c r="H47" s="174"/>
      <c r="I47" s="173"/>
      <c r="J47" s="173"/>
      <c r="K47" s="173"/>
      <c r="L47" s="173"/>
      <c r="M47" s="116"/>
      <c r="N47" s="116"/>
      <c r="O47" s="139"/>
      <c r="P47" s="139"/>
    </row>
    <row r="48" spans="2:16" x14ac:dyDescent="0.2">
      <c r="B48" s="115"/>
      <c r="C48" s="116"/>
      <c r="D48" s="116"/>
      <c r="E48" s="116"/>
      <c r="F48" s="119"/>
      <c r="G48" s="139"/>
      <c r="H48" s="172"/>
      <c r="I48" s="182"/>
      <c r="J48" s="182"/>
      <c r="K48" s="182"/>
      <c r="L48" s="173"/>
      <c r="M48" s="116"/>
      <c r="N48" s="116"/>
      <c r="O48" s="139"/>
      <c r="P48" s="139"/>
    </row>
    <row r="49" spans="2:16" x14ac:dyDescent="0.2">
      <c r="B49" s="115" t="s">
        <v>49</v>
      </c>
      <c r="C49" s="116"/>
      <c r="D49" s="116"/>
      <c r="E49" s="116"/>
      <c r="F49" s="119"/>
      <c r="G49" s="139"/>
      <c r="H49" s="174"/>
      <c r="I49" s="173"/>
      <c r="J49" s="173"/>
      <c r="K49" s="173"/>
      <c r="L49" s="173"/>
      <c r="M49" s="116"/>
      <c r="N49" s="116"/>
      <c r="O49" s="139"/>
      <c r="P49" s="139"/>
    </row>
    <row r="50" spans="2:16" x14ac:dyDescent="0.2">
      <c r="B50" s="115" t="s">
        <v>10</v>
      </c>
      <c r="C50" s="157">
        <f>C35</f>
        <v>324.625</v>
      </c>
      <c r="D50" s="116"/>
      <c r="E50" s="116"/>
      <c r="F50" s="158">
        <f>ROUND(C50,0)</f>
        <v>325</v>
      </c>
      <c r="G50" s="139"/>
      <c r="H50" s="174"/>
      <c r="I50" s="173"/>
      <c r="J50" s="173"/>
      <c r="K50" s="173"/>
      <c r="L50" s="173"/>
      <c r="M50" s="116"/>
      <c r="N50" s="116"/>
      <c r="O50" s="139"/>
      <c r="P50" s="139"/>
    </row>
    <row r="51" spans="2:16" x14ac:dyDescent="0.2">
      <c r="B51" s="115" t="s">
        <v>50</v>
      </c>
      <c r="C51" s="157"/>
      <c r="D51" s="116"/>
      <c r="E51" s="116"/>
      <c r="F51" s="11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2:16" x14ac:dyDescent="0.2">
      <c r="B52" s="115" t="s">
        <v>13</v>
      </c>
      <c r="C52" s="157">
        <f>E36</f>
        <v>-300</v>
      </c>
      <c r="D52" s="116"/>
      <c r="E52" s="116"/>
      <c r="F52" s="158">
        <f>ROUND(C52,0)</f>
        <v>-300</v>
      </c>
      <c r="G52" s="139"/>
      <c r="H52" s="139"/>
      <c r="I52" s="139"/>
      <c r="J52" s="139"/>
      <c r="K52" s="139"/>
      <c r="L52" s="139"/>
      <c r="M52" s="139"/>
      <c r="N52" s="139"/>
      <c r="O52" s="139"/>
      <c r="P52" s="139"/>
    </row>
    <row r="53" spans="2:16" x14ac:dyDescent="0.2">
      <c r="B53" s="115" t="s">
        <v>14</v>
      </c>
      <c r="C53" s="157">
        <f>-C45</f>
        <v>94.03044871794873</v>
      </c>
      <c r="D53" s="116"/>
      <c r="E53" s="116"/>
      <c r="F53" s="158">
        <f>ROUND(C53,0)</f>
        <v>94</v>
      </c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x14ac:dyDescent="0.2">
      <c r="B54" s="115" t="s">
        <v>15</v>
      </c>
      <c r="C54" s="160">
        <f>SUM(C50:C53)</f>
        <v>118.65544871794873</v>
      </c>
      <c r="D54" s="116"/>
      <c r="E54" s="116"/>
      <c r="F54" s="167">
        <f>ROUND(C54,0)</f>
        <v>119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</row>
    <row r="55" spans="2:16" ht="16" thickBot="1" x14ac:dyDescent="0.25">
      <c r="B55" s="152" t="s">
        <v>12</v>
      </c>
      <c r="C55" s="239">
        <f>C54/D30</f>
        <v>0.33974358974358976</v>
      </c>
      <c r="D55" s="153"/>
      <c r="E55" s="153"/>
      <c r="F55" s="240">
        <f>F54/D30</f>
        <v>0.34073013600572655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</sheetData>
  <sheetProtection algorithmName="SHA-512" hashValue="95sCRKt6l0wm5w+8/NMi9oQfo2JVFuzMJmw/V6zOphk7B1EDJp5dJ8id1vP7+fKpgxaNlnNPbtgAv+9iM8NGXg==" saltValue="h8pHA7iyAk2kyE8sGeJI+w==" spinCount="100000" sheet="1" objects="1" scenarios="1" selectLockedCells="1"/>
  <pageMargins left="0.7" right="0.7" top="0.75" bottom="0.75" header="0.3" footer="0.3"/>
  <pageSetup paperSize="9" orientation="portrait" r:id="rId1"/>
  <headerFooter>
    <oddHeader>&amp;C&amp;"Calibri,Standaard"&amp;K000000&amp;G</oddHeader>
  </headerFooter>
  <legacyDrawingHF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3"/>
  <sheetViews>
    <sheetView topLeftCell="B11" workbookViewId="0">
      <selection activeCell="C11" sqref="C11"/>
    </sheetView>
  </sheetViews>
  <sheetFormatPr baseColWidth="10" defaultColWidth="8.83203125" defaultRowHeight="15" x14ac:dyDescent="0.2"/>
  <cols>
    <col min="2" max="2" width="41.5" bestFit="1" customWidth="1"/>
    <col min="5" max="5" width="34.5" customWidth="1"/>
    <col min="6" max="6" width="9.5" bestFit="1" customWidth="1"/>
    <col min="10" max="10" width="20.6640625" customWidth="1"/>
    <col min="11" max="11" width="9.5" bestFit="1" customWidth="1"/>
    <col min="15" max="15" width="36.33203125" bestFit="1" customWidth="1"/>
    <col min="16" max="16" width="11" customWidth="1"/>
  </cols>
  <sheetData>
    <row r="1" spans="2:16" ht="16" thickBot="1" x14ac:dyDescent="0.25"/>
    <row r="2" spans="2:16" x14ac:dyDescent="0.2">
      <c r="B2" s="137" t="s">
        <v>112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x14ac:dyDescent="0.2">
      <c r="B3" s="140" t="s">
        <v>74</v>
      </c>
      <c r="C3" s="141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2:16" x14ac:dyDescent="0.2">
      <c r="B4" s="140" t="s">
        <v>75</v>
      </c>
      <c r="C4" s="141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2:16" ht="16" thickBot="1" x14ac:dyDescent="0.25">
      <c r="B5" s="142" t="s">
        <v>76</v>
      </c>
      <c r="C5" s="143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2:16" ht="16" thickBot="1" x14ac:dyDescent="0.25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2:16" x14ac:dyDescent="0.2">
      <c r="B7" s="144" t="s">
        <v>52</v>
      </c>
      <c r="C7" s="145"/>
      <c r="D7" s="146"/>
      <c r="E7" s="147" t="s">
        <v>53</v>
      </c>
      <c r="F7" s="148"/>
      <c r="G7" s="148"/>
      <c r="H7" s="149"/>
      <c r="I7" s="139"/>
      <c r="J7" s="147" t="s">
        <v>54</v>
      </c>
      <c r="K7" s="148"/>
      <c r="L7" s="148"/>
      <c r="M7" s="108"/>
      <c r="N7" s="139"/>
      <c r="O7" s="147" t="s">
        <v>55</v>
      </c>
      <c r="P7" s="108"/>
    </row>
    <row r="8" spans="2:16" ht="16" thickBot="1" x14ac:dyDescent="0.25">
      <c r="B8" s="150" t="s">
        <v>56</v>
      </c>
      <c r="C8" s="151"/>
      <c r="D8" s="139"/>
      <c r="E8" s="152"/>
      <c r="F8" s="153"/>
      <c r="G8" s="153"/>
      <c r="H8" s="154"/>
      <c r="I8" s="139"/>
      <c r="J8" s="152"/>
      <c r="K8" s="153"/>
      <c r="L8" s="153"/>
      <c r="M8" s="154"/>
      <c r="N8" s="139"/>
      <c r="O8" s="152"/>
      <c r="P8" s="154"/>
    </row>
    <row r="9" spans="2:16" x14ac:dyDescent="0.2">
      <c r="B9" s="155"/>
      <c r="C9" s="119"/>
      <c r="D9" s="139"/>
      <c r="E9" s="115"/>
      <c r="F9" s="116"/>
      <c r="G9" s="116"/>
      <c r="H9" s="119"/>
      <c r="I9" s="139"/>
      <c r="J9" s="115"/>
      <c r="K9" s="116"/>
      <c r="L9" s="116"/>
      <c r="M9" s="119"/>
      <c r="N9" s="139"/>
      <c r="O9" s="115"/>
      <c r="P9" s="119"/>
    </row>
    <row r="10" spans="2:16" x14ac:dyDescent="0.2">
      <c r="B10" s="156" t="s">
        <v>57</v>
      </c>
      <c r="C10" s="119"/>
      <c r="D10" s="139"/>
      <c r="E10" s="115" t="s">
        <v>0</v>
      </c>
      <c r="F10" s="157">
        <f>C17</f>
        <v>649.25</v>
      </c>
      <c r="G10" s="157"/>
      <c r="H10" s="119"/>
      <c r="I10" s="139"/>
      <c r="J10" s="115" t="s">
        <v>0</v>
      </c>
      <c r="K10" s="157">
        <f>C18</f>
        <v>649.25</v>
      </c>
      <c r="L10" s="116"/>
      <c r="M10" s="119"/>
      <c r="N10" s="139"/>
      <c r="O10" s="115" t="s">
        <v>73</v>
      </c>
      <c r="P10" s="119"/>
    </row>
    <row r="11" spans="2:16" x14ac:dyDescent="0.2">
      <c r="B11" s="115" t="s">
        <v>46</v>
      </c>
      <c r="C11" s="242">
        <f>'Berekening verblijf+overschrijd'!C14</f>
        <v>0.66025641025641024</v>
      </c>
      <c r="D11" s="139"/>
      <c r="E11" s="115" t="s">
        <v>1</v>
      </c>
      <c r="F11" s="157"/>
      <c r="G11" s="157">
        <f>F10-C14</f>
        <v>349.25</v>
      </c>
      <c r="H11" s="119"/>
      <c r="I11" s="139"/>
      <c r="J11" s="115" t="s">
        <v>58</v>
      </c>
      <c r="K11" s="157">
        <f>K10</f>
        <v>649.25</v>
      </c>
      <c r="L11" s="116"/>
      <c r="M11" s="119"/>
      <c r="N11" s="139"/>
      <c r="O11" s="115" t="s">
        <v>59</v>
      </c>
      <c r="P11" s="158">
        <f>F15</f>
        <v>324.625</v>
      </c>
    </row>
    <row r="12" spans="2:16" x14ac:dyDescent="0.2">
      <c r="B12" s="115" t="s">
        <v>47</v>
      </c>
      <c r="C12" s="242">
        <f>'Berekening verblijf+overschrijd'!C16</f>
        <v>0.33974358974358976</v>
      </c>
      <c r="D12" s="139"/>
      <c r="E12" s="115" t="s">
        <v>7</v>
      </c>
      <c r="F12" s="157"/>
      <c r="G12" s="157">
        <f>H12*G11</f>
        <v>230.59455128205127</v>
      </c>
      <c r="H12" s="159">
        <f>C11</f>
        <v>0.66025641025641024</v>
      </c>
      <c r="I12" s="139"/>
      <c r="J12" s="115" t="s">
        <v>2</v>
      </c>
      <c r="K12" s="160">
        <f>K10*L12</f>
        <v>428.67147435897436</v>
      </c>
      <c r="L12" s="161">
        <f>H12</f>
        <v>0.66025641025641024</v>
      </c>
      <c r="M12" s="119"/>
      <c r="N12" s="139"/>
      <c r="O12" s="115" t="s">
        <v>108</v>
      </c>
      <c r="P12" s="158">
        <f>F20</f>
        <v>-94.03044871794873</v>
      </c>
    </row>
    <row r="13" spans="2:16" x14ac:dyDescent="0.2">
      <c r="B13" s="115"/>
      <c r="C13" s="162"/>
      <c r="D13" s="139"/>
      <c r="E13" s="115" t="s">
        <v>6</v>
      </c>
      <c r="F13" s="157"/>
      <c r="G13" s="157">
        <f>H13*G11</f>
        <v>118.65544871794873</v>
      </c>
      <c r="H13" s="159">
        <f>C12</f>
        <v>0.33974358974358976</v>
      </c>
      <c r="I13" s="139"/>
      <c r="J13" s="115" t="s">
        <v>72</v>
      </c>
      <c r="K13" s="160">
        <f>K10*L13</f>
        <v>220.57852564102566</v>
      </c>
      <c r="L13" s="161">
        <f>H13</f>
        <v>0.33974358974358976</v>
      </c>
      <c r="M13" s="119"/>
      <c r="N13" s="139"/>
      <c r="O13" s="115" t="s">
        <v>61</v>
      </c>
      <c r="P13" s="158">
        <f>K12</f>
        <v>428.67147435897436</v>
      </c>
    </row>
    <row r="14" spans="2:16" ht="16" thickBot="1" x14ac:dyDescent="0.25">
      <c r="B14" s="156" t="s">
        <v>71</v>
      </c>
      <c r="C14" s="163">
        <f>'Berekening verblijf+overschrijd'!C24</f>
        <v>300</v>
      </c>
      <c r="D14" s="139"/>
      <c r="E14" s="115"/>
      <c r="F14" s="157"/>
      <c r="G14" s="157"/>
      <c r="H14" s="119"/>
      <c r="I14" s="139"/>
      <c r="J14" s="115"/>
      <c r="K14" s="116"/>
      <c r="L14" s="116"/>
      <c r="M14" s="119"/>
      <c r="N14" s="139"/>
      <c r="O14" s="115" t="s">
        <v>62</v>
      </c>
      <c r="P14" s="169">
        <v>0</v>
      </c>
    </row>
    <row r="15" spans="2:16" ht="16" thickBot="1" x14ac:dyDescent="0.25">
      <c r="B15" s="115"/>
      <c r="C15" s="119"/>
      <c r="D15" s="139"/>
      <c r="E15" s="115" t="s">
        <v>2</v>
      </c>
      <c r="F15" s="160">
        <f>F10*H15</f>
        <v>324.625</v>
      </c>
      <c r="G15" s="157"/>
      <c r="H15" s="165">
        <f>C21</f>
        <v>0.5</v>
      </c>
      <c r="I15" s="139"/>
      <c r="J15" s="115"/>
      <c r="K15" s="116"/>
      <c r="L15" s="116"/>
      <c r="M15" s="119"/>
      <c r="N15" s="139"/>
      <c r="O15" s="115"/>
      <c r="P15" s="166">
        <f>SUM(P11:P14)</f>
        <v>659.26602564102564</v>
      </c>
    </row>
    <row r="16" spans="2:16" x14ac:dyDescent="0.2">
      <c r="B16" s="156" t="s">
        <v>63</v>
      </c>
      <c r="C16" s="119"/>
      <c r="D16" s="139"/>
      <c r="E16" s="115" t="s">
        <v>3</v>
      </c>
      <c r="F16" s="157">
        <f>F10*H16</f>
        <v>324.625</v>
      </c>
      <c r="G16" s="157"/>
      <c r="H16" s="165">
        <f>C22</f>
        <v>0.5</v>
      </c>
      <c r="I16" s="139"/>
      <c r="J16" s="115"/>
      <c r="K16" s="116"/>
      <c r="L16" s="116"/>
      <c r="M16" s="119"/>
      <c r="N16" s="139"/>
      <c r="O16" s="115"/>
      <c r="P16" s="119"/>
    </row>
    <row r="17" spans="2:18" x14ac:dyDescent="0.2">
      <c r="B17" s="115" t="s">
        <v>64</v>
      </c>
      <c r="C17" s="169">
        <f>'Berekening verblijf+overschrijd'!C26/2</f>
        <v>649.25</v>
      </c>
      <c r="D17" s="139"/>
      <c r="E17" s="115" t="s">
        <v>4</v>
      </c>
      <c r="F17" s="160">
        <f>F16+H17</f>
        <v>24.625</v>
      </c>
      <c r="G17" s="157"/>
      <c r="H17" s="158">
        <f>-C14</f>
        <v>-300</v>
      </c>
      <c r="I17" s="139"/>
      <c r="J17" s="115"/>
      <c r="K17" s="116"/>
      <c r="L17" s="116"/>
      <c r="M17" s="119"/>
      <c r="N17" s="139"/>
      <c r="O17" s="115" t="s">
        <v>72</v>
      </c>
      <c r="P17" s="119"/>
    </row>
    <row r="18" spans="2:18" x14ac:dyDescent="0.2">
      <c r="B18" s="115" t="s">
        <v>65</v>
      </c>
      <c r="C18" s="169">
        <f>'Berekening verblijf+overschrijd'!C26/2</f>
        <v>649.25</v>
      </c>
      <c r="D18" s="139"/>
      <c r="E18" s="115"/>
      <c r="F18" s="116"/>
      <c r="G18" s="157"/>
      <c r="H18" s="119"/>
      <c r="I18" s="139"/>
      <c r="J18" s="115"/>
      <c r="K18" s="116"/>
      <c r="L18" s="116"/>
      <c r="M18" s="119"/>
      <c r="N18" s="139"/>
      <c r="O18" s="115" t="s">
        <v>59</v>
      </c>
      <c r="P18" s="158">
        <f>F17</f>
        <v>24.625</v>
      </c>
    </row>
    <row r="19" spans="2:18" x14ac:dyDescent="0.2">
      <c r="B19" s="115"/>
      <c r="C19" s="119"/>
      <c r="D19" s="139"/>
      <c r="E19" s="115" t="s">
        <v>107</v>
      </c>
      <c r="F19" s="160">
        <f>-(F15-G12)</f>
        <v>-94.03044871794873</v>
      </c>
      <c r="G19" s="157"/>
      <c r="H19" s="167"/>
      <c r="I19" s="139"/>
      <c r="J19" s="115"/>
      <c r="K19" s="116"/>
      <c r="L19" s="116"/>
      <c r="M19" s="119"/>
      <c r="N19" s="139"/>
      <c r="O19" s="115" t="s">
        <v>109</v>
      </c>
      <c r="P19" s="158">
        <f>-F19</f>
        <v>94.03044871794873</v>
      </c>
    </row>
    <row r="20" spans="2:18" x14ac:dyDescent="0.2">
      <c r="B20" s="156" t="s">
        <v>66</v>
      </c>
      <c r="C20" s="119"/>
      <c r="D20" s="139"/>
      <c r="E20" s="115" t="s">
        <v>104</v>
      </c>
      <c r="F20" s="160">
        <f>-(G13-F17)</f>
        <v>-94.03044871794873</v>
      </c>
      <c r="G20" s="116"/>
      <c r="H20" s="167"/>
      <c r="I20" s="139"/>
      <c r="J20" s="115"/>
      <c r="K20" s="116"/>
      <c r="L20" s="116"/>
      <c r="M20" s="119"/>
      <c r="N20" s="139"/>
      <c r="O20" s="115" t="s">
        <v>61</v>
      </c>
      <c r="P20" s="158">
        <f>K13</f>
        <v>220.57852564102566</v>
      </c>
    </row>
    <row r="21" spans="2:18" ht="16" thickBot="1" x14ac:dyDescent="0.25">
      <c r="B21" s="115" t="s">
        <v>46</v>
      </c>
      <c r="C21" s="243">
        <f>'Berekening verblijf+overschrijd'!C17</f>
        <v>0.5</v>
      </c>
      <c r="D21" s="139"/>
      <c r="E21" s="115" t="s">
        <v>105</v>
      </c>
      <c r="F21" s="160">
        <f>-F19</f>
        <v>94.03044871794873</v>
      </c>
      <c r="G21" s="116"/>
      <c r="H21" s="119"/>
      <c r="I21" s="139"/>
      <c r="J21" s="115"/>
      <c r="K21" s="116"/>
      <c r="L21" s="116"/>
      <c r="M21" s="119"/>
      <c r="N21" s="139"/>
      <c r="O21" s="115" t="s">
        <v>62</v>
      </c>
      <c r="P21" s="164">
        <v>0</v>
      </c>
    </row>
    <row r="22" spans="2:18" ht="16" thickBot="1" x14ac:dyDescent="0.25">
      <c r="B22" s="152" t="s">
        <v>47</v>
      </c>
      <c r="C22" s="244">
        <f>'Berekening verblijf+overschrijd'!C20</f>
        <v>0.5</v>
      </c>
      <c r="D22" s="139"/>
      <c r="E22" s="152" t="s">
        <v>106</v>
      </c>
      <c r="F22" s="168">
        <f>-F20</f>
        <v>94.03044871794873</v>
      </c>
      <c r="G22" s="153"/>
      <c r="H22" s="154"/>
      <c r="I22" s="139"/>
      <c r="J22" s="152"/>
      <c r="K22" s="153"/>
      <c r="L22" s="153"/>
      <c r="M22" s="154"/>
      <c r="N22" s="139"/>
      <c r="O22" s="152"/>
      <c r="P22" s="166">
        <f>SUM(P18:P21)</f>
        <v>339.23397435897436</v>
      </c>
      <c r="R22" s="11"/>
    </row>
    <row r="23" spans="2:18" x14ac:dyDescent="0.2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2:18" ht="16" thickBot="1" x14ac:dyDescent="0.2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2:18" x14ac:dyDescent="0.2">
      <c r="B25" s="139"/>
      <c r="C25" s="139"/>
      <c r="D25" s="139"/>
      <c r="E25" s="147" t="s">
        <v>67</v>
      </c>
      <c r="F25" s="148"/>
      <c r="G25" s="148"/>
      <c r="H25" s="149"/>
      <c r="I25" s="139"/>
      <c r="J25" s="147" t="s">
        <v>68</v>
      </c>
      <c r="K25" s="148"/>
      <c r="L25" s="148"/>
      <c r="M25" s="108"/>
      <c r="N25" s="139"/>
      <c r="O25" s="147" t="s">
        <v>55</v>
      </c>
      <c r="P25" s="108"/>
    </row>
    <row r="26" spans="2:18" ht="16" thickBot="1" x14ac:dyDescent="0.25">
      <c r="B26" s="139"/>
      <c r="C26" s="139"/>
      <c r="D26" s="139"/>
      <c r="E26" s="152"/>
      <c r="F26" s="153"/>
      <c r="G26" s="153"/>
      <c r="H26" s="154"/>
      <c r="I26" s="139"/>
      <c r="J26" s="152"/>
      <c r="K26" s="153"/>
      <c r="L26" s="153"/>
      <c r="M26" s="154"/>
      <c r="N26" s="139"/>
      <c r="O26" s="152"/>
      <c r="P26" s="154"/>
    </row>
    <row r="27" spans="2:18" x14ac:dyDescent="0.2">
      <c r="B27" s="139"/>
      <c r="C27" s="139"/>
      <c r="D27" s="139"/>
      <c r="E27" s="115"/>
      <c r="F27" s="116"/>
      <c r="G27" s="116"/>
      <c r="H27" s="119"/>
      <c r="I27" s="139"/>
      <c r="J27" s="115"/>
      <c r="K27" s="116"/>
      <c r="L27" s="116"/>
      <c r="M27" s="119"/>
      <c r="N27" s="139"/>
      <c r="O27" s="115"/>
      <c r="P27" s="119"/>
    </row>
    <row r="28" spans="2:18" x14ac:dyDescent="0.2">
      <c r="B28" s="139"/>
      <c r="C28" s="139"/>
      <c r="D28" s="139"/>
      <c r="E28" s="115" t="s">
        <v>0</v>
      </c>
      <c r="F28" s="157">
        <f>F10</f>
        <v>649.25</v>
      </c>
      <c r="G28" s="157"/>
      <c r="H28" s="119"/>
      <c r="I28" s="139"/>
      <c r="J28" s="115" t="s">
        <v>0</v>
      </c>
      <c r="K28" s="157">
        <f>C18</f>
        <v>649.25</v>
      </c>
      <c r="L28" s="116"/>
      <c r="M28" s="119"/>
      <c r="N28" s="139"/>
      <c r="O28" s="115" t="s">
        <v>73</v>
      </c>
      <c r="P28" s="119"/>
    </row>
    <row r="29" spans="2:18" x14ac:dyDescent="0.2">
      <c r="B29" s="139"/>
      <c r="C29" s="139"/>
      <c r="D29" s="139"/>
      <c r="E29" s="115" t="s">
        <v>1</v>
      </c>
      <c r="F29" s="157"/>
      <c r="G29" s="157">
        <f>F28-C32</f>
        <v>649.25</v>
      </c>
      <c r="H29" s="119"/>
      <c r="I29" s="139"/>
      <c r="J29" s="115" t="s">
        <v>58</v>
      </c>
      <c r="K29" s="157">
        <f>K28+L29</f>
        <v>349.25</v>
      </c>
      <c r="L29" s="157">
        <f>-C14</f>
        <v>-300</v>
      </c>
      <c r="M29" s="119"/>
      <c r="N29" s="139"/>
      <c r="O29" s="115" t="s">
        <v>59</v>
      </c>
      <c r="P29" s="158">
        <f>F33</f>
        <v>324.625</v>
      </c>
    </row>
    <row r="30" spans="2:18" x14ac:dyDescent="0.2">
      <c r="B30" s="139"/>
      <c r="C30" s="139"/>
      <c r="D30" s="139"/>
      <c r="E30" s="115" t="s">
        <v>7</v>
      </c>
      <c r="F30" s="157"/>
      <c r="G30" s="157">
        <f>H30*G29</f>
        <v>428.67147435897436</v>
      </c>
      <c r="H30" s="159">
        <f>H12</f>
        <v>0.66025641025641024</v>
      </c>
      <c r="I30" s="139"/>
      <c r="J30" s="115" t="s">
        <v>2</v>
      </c>
      <c r="K30" s="160">
        <f>K29*L30</f>
        <v>230.59455128205127</v>
      </c>
      <c r="L30" s="161">
        <f>H30</f>
        <v>0.66025641025641024</v>
      </c>
      <c r="M30" s="119"/>
      <c r="N30" s="139"/>
      <c r="O30" s="115" t="s">
        <v>108</v>
      </c>
      <c r="P30" s="158">
        <f>F38</f>
        <v>104.04647435897434</v>
      </c>
    </row>
    <row r="31" spans="2:18" x14ac:dyDescent="0.2">
      <c r="B31" s="139"/>
      <c r="C31" s="139"/>
      <c r="D31" s="139"/>
      <c r="E31" s="115" t="s">
        <v>6</v>
      </c>
      <c r="F31" s="157"/>
      <c r="G31" s="157">
        <f>H31*G29</f>
        <v>220.57852564102566</v>
      </c>
      <c r="H31" s="159">
        <f>H13</f>
        <v>0.33974358974358976</v>
      </c>
      <c r="I31" s="139"/>
      <c r="J31" s="115" t="s">
        <v>72</v>
      </c>
      <c r="K31" s="160">
        <f>K29*L31</f>
        <v>118.65544871794873</v>
      </c>
      <c r="L31" s="161">
        <f>H31</f>
        <v>0.33974358974358976</v>
      </c>
      <c r="M31" s="119"/>
      <c r="N31" s="139"/>
      <c r="O31" s="115" t="s">
        <v>61</v>
      </c>
      <c r="P31" s="158">
        <f>K30</f>
        <v>230.59455128205127</v>
      </c>
    </row>
    <row r="32" spans="2:18" ht="16" thickBot="1" x14ac:dyDescent="0.25">
      <c r="B32" s="139"/>
      <c r="C32" s="139"/>
      <c r="D32" s="139"/>
      <c r="E32" s="115"/>
      <c r="F32" s="157"/>
      <c r="G32" s="157"/>
      <c r="H32" s="119"/>
      <c r="I32" s="139"/>
      <c r="J32" s="115"/>
      <c r="K32" s="116"/>
      <c r="L32" s="116"/>
      <c r="M32" s="119"/>
      <c r="N32" s="139"/>
      <c r="O32" s="115" t="s">
        <v>62</v>
      </c>
      <c r="P32" s="169">
        <v>0</v>
      </c>
    </row>
    <row r="33" spans="2:16" ht="16" thickBot="1" x14ac:dyDescent="0.25">
      <c r="B33" s="139"/>
      <c r="C33" s="139"/>
      <c r="D33" s="139"/>
      <c r="E33" s="115" t="s">
        <v>2</v>
      </c>
      <c r="F33" s="160">
        <f>F28*H33</f>
        <v>324.625</v>
      </c>
      <c r="G33" s="157"/>
      <c r="H33" s="165">
        <f>H15</f>
        <v>0.5</v>
      </c>
      <c r="I33" s="139"/>
      <c r="J33" s="115"/>
      <c r="K33" s="116"/>
      <c r="L33" s="116"/>
      <c r="M33" s="119"/>
      <c r="N33" s="139"/>
      <c r="O33" s="115"/>
      <c r="P33" s="166">
        <f>SUM(P29:P32)</f>
        <v>659.26602564102564</v>
      </c>
    </row>
    <row r="34" spans="2:16" x14ac:dyDescent="0.2">
      <c r="B34" s="139"/>
      <c r="C34" s="139"/>
      <c r="D34" s="139"/>
      <c r="E34" s="115" t="s">
        <v>3</v>
      </c>
      <c r="F34" s="157">
        <f>F28*H34</f>
        <v>324.625</v>
      </c>
      <c r="G34" s="157"/>
      <c r="H34" s="165">
        <f>H16</f>
        <v>0.5</v>
      </c>
      <c r="I34" s="139"/>
      <c r="J34" s="115"/>
      <c r="K34" s="116"/>
      <c r="L34" s="116"/>
      <c r="M34" s="119"/>
      <c r="N34" s="139"/>
      <c r="O34" s="115"/>
      <c r="P34" s="119"/>
    </row>
    <row r="35" spans="2:16" x14ac:dyDescent="0.2">
      <c r="B35" s="139"/>
      <c r="C35" s="139"/>
      <c r="D35" s="139"/>
      <c r="E35" s="115" t="s">
        <v>4</v>
      </c>
      <c r="F35" s="160">
        <f>F34+H35</f>
        <v>324.625</v>
      </c>
      <c r="G35" s="157"/>
      <c r="H35" s="158"/>
      <c r="I35" s="139"/>
      <c r="J35" s="115"/>
      <c r="K35" s="116"/>
      <c r="L35" s="116"/>
      <c r="M35" s="119"/>
      <c r="N35" s="139"/>
      <c r="O35" s="115" t="s">
        <v>72</v>
      </c>
      <c r="P35" s="119"/>
    </row>
    <row r="36" spans="2:16" x14ac:dyDescent="0.2">
      <c r="B36" s="139"/>
      <c r="C36" s="139"/>
      <c r="D36" s="139"/>
      <c r="E36" s="115"/>
      <c r="F36" s="116"/>
      <c r="G36" s="157"/>
      <c r="H36" s="119"/>
      <c r="I36" s="139"/>
      <c r="J36" s="115"/>
      <c r="K36" s="116"/>
      <c r="L36" s="116"/>
      <c r="M36" s="119"/>
      <c r="N36" s="139"/>
      <c r="O36" s="115" t="s">
        <v>59</v>
      </c>
      <c r="P36" s="158">
        <f>F35</f>
        <v>324.625</v>
      </c>
    </row>
    <row r="37" spans="2:16" x14ac:dyDescent="0.2">
      <c r="B37" s="139"/>
      <c r="C37" s="139"/>
      <c r="D37" s="139"/>
      <c r="E37" s="115" t="s">
        <v>107</v>
      </c>
      <c r="F37" s="160">
        <f>G30-F33</f>
        <v>104.04647435897436</v>
      </c>
      <c r="G37" s="157"/>
      <c r="H37" s="167"/>
      <c r="I37" s="139"/>
      <c r="J37" s="115"/>
      <c r="K37" s="116"/>
      <c r="L37" s="116"/>
      <c r="M37" s="119"/>
      <c r="N37" s="139"/>
      <c r="O37" s="115" t="s">
        <v>60</v>
      </c>
      <c r="P37" s="158">
        <f>-F37</f>
        <v>-104.04647435897436</v>
      </c>
    </row>
    <row r="38" spans="2:16" x14ac:dyDescent="0.2">
      <c r="B38" s="139"/>
      <c r="C38" s="139"/>
      <c r="D38" s="139"/>
      <c r="E38" s="115" t="s">
        <v>104</v>
      </c>
      <c r="F38" s="160">
        <f>F35-G31</f>
        <v>104.04647435897434</v>
      </c>
      <c r="G38" s="116"/>
      <c r="H38" s="167"/>
      <c r="I38" s="139"/>
      <c r="J38" s="115"/>
      <c r="K38" s="116"/>
      <c r="L38" s="116"/>
      <c r="M38" s="119"/>
      <c r="N38" s="139"/>
      <c r="O38" s="115" t="s">
        <v>61</v>
      </c>
      <c r="P38" s="158">
        <f>K31</f>
        <v>118.65544871794873</v>
      </c>
    </row>
    <row r="39" spans="2:16" ht="16" thickBot="1" x14ac:dyDescent="0.25">
      <c r="B39" s="139"/>
      <c r="C39" s="139"/>
      <c r="D39" s="139"/>
      <c r="E39" s="115" t="s">
        <v>105</v>
      </c>
      <c r="F39" s="160">
        <f>-F37</f>
        <v>-104.04647435897436</v>
      </c>
      <c r="G39" s="116"/>
      <c r="H39" s="119"/>
      <c r="I39" s="139"/>
      <c r="J39" s="115"/>
      <c r="K39" s="116"/>
      <c r="L39" s="116"/>
      <c r="M39" s="119"/>
      <c r="N39" s="139"/>
      <c r="O39" s="115" t="s">
        <v>62</v>
      </c>
      <c r="P39" s="164">
        <v>0</v>
      </c>
    </row>
    <row r="40" spans="2:16" ht="16" thickBot="1" x14ac:dyDescent="0.25">
      <c r="B40" s="139"/>
      <c r="C40" s="139"/>
      <c r="D40" s="139"/>
      <c r="E40" s="152" t="s">
        <v>106</v>
      </c>
      <c r="F40" s="168">
        <f>-F38</f>
        <v>-104.04647435897434</v>
      </c>
      <c r="G40" s="153"/>
      <c r="H40" s="154"/>
      <c r="I40" s="139"/>
      <c r="J40" s="152"/>
      <c r="K40" s="153"/>
      <c r="L40" s="153"/>
      <c r="M40" s="154"/>
      <c r="N40" s="139"/>
      <c r="O40" s="152"/>
      <c r="P40" s="166">
        <f>SUM(P36:P39)</f>
        <v>339.23397435897436</v>
      </c>
    </row>
    <row r="43" spans="2:16" x14ac:dyDescent="0.2">
      <c r="F43" s="11"/>
    </row>
  </sheetData>
  <sheetProtection algorithmName="SHA-512" hashValue="qzG6p5FYMU8TSs9tpCmoUNTI/cCBqOoTWd0XZOlLCFBzRfgwDJLT7S6jQ7swnLCT+HCUinMKnRQdCNZviGwqMw==" saltValue="0rxRigbbvgJIsNuRW8Q/dQ==" spinCount="100000" sheet="1" objects="1" scenarios="1" selectLockedCells="1"/>
  <pageMargins left="0.7" right="0.7" top="0.75" bottom="0.75" header="0.3" footer="0.3"/>
  <pageSetup paperSize="9" orientation="portrait" r:id="rId1"/>
  <headerFooter>
    <oddHeader>&amp;C&amp;"Calibri,Standaard"&amp;K000000&amp;G</oddHeader>
  </headerFooter>
  <legacyDrawingHF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>
      <selection activeCell="E19" sqref="E19"/>
    </sheetView>
  </sheetViews>
  <sheetFormatPr baseColWidth="10" defaultColWidth="8.83203125" defaultRowHeight="15" x14ac:dyDescent="0.2"/>
  <cols>
    <col min="1" max="1" width="29.83203125" bestFit="1" customWidth="1"/>
    <col min="3" max="3" width="14.5" bestFit="1" customWidth="1"/>
    <col min="4" max="5" width="13.33203125" bestFit="1" customWidth="1"/>
  </cols>
  <sheetData>
    <row r="1" spans="1:12" ht="16" thickBot="1" x14ac:dyDescent="0.25">
      <c r="A1" s="106" t="s">
        <v>113</v>
      </c>
      <c r="B1" s="107"/>
      <c r="C1" s="107"/>
      <c r="D1" s="107"/>
      <c r="E1" s="108"/>
      <c r="F1" s="139"/>
      <c r="G1" s="139"/>
      <c r="H1" s="139"/>
      <c r="I1" s="139"/>
      <c r="J1" s="139"/>
      <c r="K1" s="139"/>
      <c r="L1" s="139"/>
    </row>
    <row r="2" spans="1:12" x14ac:dyDescent="0.2">
      <c r="A2" s="109"/>
      <c r="B2" s="110"/>
      <c r="C2" s="110" t="s">
        <v>114</v>
      </c>
      <c r="D2" s="110" t="s">
        <v>114</v>
      </c>
      <c r="E2" s="111" t="s">
        <v>114</v>
      </c>
      <c r="F2" s="139"/>
      <c r="G2" s="139"/>
      <c r="H2" s="139"/>
      <c r="I2" s="139"/>
      <c r="J2" s="139"/>
      <c r="K2" s="139"/>
      <c r="L2" s="139"/>
    </row>
    <row r="3" spans="1:12" ht="16" thickBot="1" x14ac:dyDescent="0.25">
      <c r="A3" s="112"/>
      <c r="B3" s="113"/>
      <c r="C3" s="113" t="s">
        <v>115</v>
      </c>
      <c r="D3" s="113" t="s">
        <v>116</v>
      </c>
      <c r="E3" s="114" t="s">
        <v>117</v>
      </c>
      <c r="F3" s="139"/>
      <c r="G3" s="139"/>
      <c r="H3" s="139"/>
      <c r="I3" s="139"/>
      <c r="J3" s="139"/>
      <c r="K3" s="139"/>
      <c r="L3" s="139"/>
    </row>
    <row r="4" spans="1:12" x14ac:dyDescent="0.2">
      <c r="A4" s="115"/>
      <c r="B4" s="116"/>
      <c r="C4" s="116"/>
      <c r="D4" s="117" t="s">
        <v>118</v>
      </c>
      <c r="E4" s="118" t="s">
        <v>118</v>
      </c>
      <c r="F4" s="139"/>
      <c r="G4" s="139"/>
      <c r="H4" s="139"/>
      <c r="I4" s="139"/>
      <c r="J4" s="139"/>
      <c r="K4" s="139"/>
      <c r="L4" s="139"/>
    </row>
    <row r="5" spans="1:12" x14ac:dyDescent="0.2">
      <c r="A5" s="115" t="s">
        <v>119</v>
      </c>
      <c r="B5" s="116"/>
      <c r="C5" s="116"/>
      <c r="D5" s="116"/>
      <c r="E5" s="119"/>
      <c r="F5" s="139"/>
      <c r="G5" s="139"/>
      <c r="H5" s="139"/>
      <c r="I5" s="139"/>
      <c r="J5" s="139"/>
      <c r="K5" s="139"/>
      <c r="L5" s="139"/>
    </row>
    <row r="6" spans="1:12" x14ac:dyDescent="0.2">
      <c r="A6" s="115" t="s">
        <v>120</v>
      </c>
      <c r="B6" s="116"/>
      <c r="C6" s="120"/>
      <c r="D6" s="104">
        <v>31</v>
      </c>
      <c r="E6" s="105">
        <v>31</v>
      </c>
      <c r="F6" s="139"/>
      <c r="G6" s="139"/>
      <c r="H6" s="139"/>
      <c r="I6" s="139"/>
      <c r="J6" s="139"/>
      <c r="K6" s="139"/>
      <c r="L6" s="139"/>
    </row>
    <row r="7" spans="1:12" x14ac:dyDescent="0.2">
      <c r="A7" s="115"/>
      <c r="B7" s="116"/>
      <c r="C7" s="120"/>
      <c r="D7" s="121"/>
      <c r="E7" s="122"/>
      <c r="F7" s="139"/>
      <c r="G7" s="139"/>
      <c r="H7" s="121"/>
      <c r="I7" s="139"/>
      <c r="J7" s="139"/>
      <c r="K7" s="139"/>
      <c r="L7" s="139"/>
    </row>
    <row r="8" spans="1:12" x14ac:dyDescent="0.2">
      <c r="A8" s="115" t="s">
        <v>121</v>
      </c>
      <c r="B8" s="116"/>
      <c r="C8" s="120"/>
      <c r="D8" s="104">
        <v>7</v>
      </c>
      <c r="E8" s="105">
        <v>7</v>
      </c>
      <c r="F8" s="139"/>
      <c r="G8" s="139"/>
      <c r="H8" s="139"/>
      <c r="I8" s="139"/>
      <c r="J8" s="139"/>
      <c r="K8" s="139"/>
      <c r="L8" s="139"/>
    </row>
    <row r="9" spans="1:12" x14ac:dyDescent="0.2">
      <c r="A9" s="115"/>
      <c r="B9" s="116"/>
      <c r="C9" s="120"/>
      <c r="D9" s="121"/>
      <c r="E9" s="122"/>
      <c r="F9" s="139"/>
      <c r="G9" s="139"/>
      <c r="H9" s="139"/>
      <c r="I9" s="139"/>
      <c r="J9" s="139"/>
      <c r="K9" s="139"/>
      <c r="L9" s="139"/>
    </row>
    <row r="10" spans="1:12" x14ac:dyDescent="0.2">
      <c r="A10" s="115" t="s">
        <v>122</v>
      </c>
      <c r="B10" s="116"/>
      <c r="C10" s="120"/>
      <c r="D10" s="104">
        <v>7</v>
      </c>
      <c r="E10" s="105">
        <v>7</v>
      </c>
      <c r="F10" s="139"/>
      <c r="G10" s="139"/>
      <c r="H10" s="139"/>
      <c r="I10" s="139"/>
      <c r="J10" s="139"/>
      <c r="K10" s="139"/>
      <c r="L10" s="139"/>
    </row>
    <row r="11" spans="1:12" x14ac:dyDescent="0.2">
      <c r="A11" s="115"/>
      <c r="B11" s="116"/>
      <c r="C11" s="120"/>
      <c r="D11" s="121"/>
      <c r="E11" s="122"/>
      <c r="F11" s="139"/>
      <c r="G11" s="139"/>
      <c r="H11" s="139"/>
      <c r="I11" s="139"/>
      <c r="J11" s="139"/>
      <c r="K11" s="139"/>
      <c r="L11" s="139"/>
    </row>
    <row r="12" spans="1:12" x14ac:dyDescent="0.2">
      <c r="A12" s="115" t="s">
        <v>123</v>
      </c>
      <c r="B12" s="116"/>
      <c r="C12" s="120"/>
      <c r="D12" s="104">
        <v>7</v>
      </c>
      <c r="E12" s="105">
        <v>0</v>
      </c>
      <c r="F12" s="139"/>
      <c r="G12" s="139"/>
      <c r="H12" s="139"/>
      <c r="I12" s="139"/>
      <c r="J12" s="139"/>
      <c r="K12" s="139"/>
      <c r="L12" s="139"/>
    </row>
    <row r="13" spans="1:12" x14ac:dyDescent="0.2">
      <c r="A13" s="115"/>
      <c r="B13" s="116"/>
      <c r="C13" s="120"/>
      <c r="D13" s="121"/>
      <c r="E13" s="122"/>
      <c r="F13" s="139"/>
      <c r="G13" s="139"/>
      <c r="H13" s="139"/>
      <c r="I13" s="139"/>
      <c r="J13" s="139"/>
      <c r="K13" s="139"/>
      <c r="L13" s="139"/>
    </row>
    <row r="14" spans="1:12" x14ac:dyDescent="0.2">
      <c r="A14" s="115" t="s">
        <v>124</v>
      </c>
      <c r="B14" s="116"/>
      <c r="C14" s="120"/>
      <c r="D14" s="104">
        <v>0</v>
      </c>
      <c r="E14" s="105">
        <v>7</v>
      </c>
      <c r="F14" s="139"/>
      <c r="G14" s="139"/>
      <c r="H14" s="139"/>
      <c r="I14" s="139"/>
      <c r="J14" s="139"/>
      <c r="K14" s="139"/>
      <c r="L14" s="139"/>
    </row>
    <row r="15" spans="1:12" x14ac:dyDescent="0.2">
      <c r="A15" s="115"/>
      <c r="B15" s="116"/>
      <c r="C15" s="120"/>
      <c r="D15" s="123"/>
      <c r="E15" s="124"/>
      <c r="F15" s="139"/>
      <c r="G15" s="139"/>
      <c r="H15" s="139"/>
      <c r="I15" s="139"/>
      <c r="J15" s="139"/>
      <c r="K15" s="139"/>
      <c r="L15" s="139"/>
    </row>
    <row r="16" spans="1:12" x14ac:dyDescent="0.2">
      <c r="A16" s="125" t="s">
        <v>125</v>
      </c>
      <c r="B16" s="126"/>
      <c r="C16" s="127"/>
      <c r="D16" s="128">
        <f>SUM(D6:D14)</f>
        <v>52</v>
      </c>
      <c r="E16" s="129">
        <f>SUM(E6:E14)</f>
        <v>52</v>
      </c>
      <c r="F16" s="139"/>
      <c r="G16" s="139"/>
      <c r="H16" s="139"/>
      <c r="I16" s="139"/>
      <c r="J16" s="139"/>
      <c r="K16" s="139"/>
      <c r="L16" s="139"/>
    </row>
    <row r="17" spans="1:12" x14ac:dyDescent="0.2">
      <c r="A17" s="115"/>
      <c r="B17" s="116"/>
      <c r="C17" s="120"/>
      <c r="D17" s="123"/>
      <c r="E17" s="124"/>
      <c r="F17" s="139"/>
      <c r="G17" s="139"/>
      <c r="H17" s="139"/>
      <c r="I17" s="139"/>
      <c r="J17" s="139"/>
      <c r="K17" s="139"/>
      <c r="L17" s="139"/>
    </row>
    <row r="18" spans="1:12" x14ac:dyDescent="0.2">
      <c r="A18" s="115" t="s">
        <v>126</v>
      </c>
      <c r="B18" s="116"/>
      <c r="C18" s="123">
        <f>365-D16-E16</f>
        <v>261</v>
      </c>
      <c r="D18" s="130" t="s">
        <v>127</v>
      </c>
      <c r="E18" s="131" t="s">
        <v>127</v>
      </c>
      <c r="F18" s="139"/>
      <c r="G18" s="139"/>
      <c r="H18" s="139"/>
      <c r="I18" s="139"/>
      <c r="J18" s="139"/>
      <c r="K18" s="139"/>
      <c r="L18" s="139"/>
    </row>
    <row r="19" spans="1:12" x14ac:dyDescent="0.2">
      <c r="A19" s="115"/>
      <c r="B19" s="116"/>
      <c r="C19" s="120"/>
      <c r="D19" s="104">
        <v>7</v>
      </c>
      <c r="E19" s="105">
        <v>7</v>
      </c>
      <c r="F19" s="139"/>
      <c r="G19" s="139"/>
      <c r="H19" s="139"/>
      <c r="I19" s="139"/>
      <c r="J19" s="139"/>
      <c r="K19" s="139"/>
      <c r="L19" s="139"/>
    </row>
    <row r="20" spans="1:12" x14ac:dyDescent="0.2">
      <c r="A20" s="115"/>
      <c r="B20" s="116"/>
      <c r="C20" s="120"/>
      <c r="D20" s="120"/>
      <c r="E20" s="132"/>
      <c r="F20" s="139"/>
      <c r="G20" s="139"/>
      <c r="H20" s="139"/>
      <c r="I20" s="139"/>
      <c r="J20" s="139"/>
      <c r="K20" s="139"/>
      <c r="L20" s="139"/>
    </row>
    <row r="21" spans="1:12" x14ac:dyDescent="0.2">
      <c r="A21" s="115" t="s">
        <v>128</v>
      </c>
      <c r="B21" s="116"/>
      <c r="C21" s="120"/>
      <c r="D21" s="128">
        <f>C18*D19/14</f>
        <v>130.5</v>
      </c>
      <c r="E21" s="129">
        <f>C18*E19/14</f>
        <v>130.5</v>
      </c>
      <c r="F21" s="139"/>
      <c r="G21" s="139"/>
      <c r="H21" s="139"/>
      <c r="I21" s="139"/>
      <c r="J21" s="139"/>
      <c r="K21" s="139"/>
      <c r="L21" s="139"/>
    </row>
    <row r="22" spans="1:12" ht="16" thickBot="1" x14ac:dyDescent="0.25">
      <c r="A22" s="115"/>
      <c r="B22" s="116"/>
      <c r="C22" s="120"/>
      <c r="D22" s="123"/>
      <c r="E22" s="124"/>
      <c r="F22" s="139"/>
      <c r="G22" s="139"/>
      <c r="H22" s="139"/>
      <c r="I22" s="139"/>
      <c r="J22" s="139"/>
      <c r="K22" s="139"/>
      <c r="L22" s="139"/>
    </row>
    <row r="23" spans="1:12" x14ac:dyDescent="0.2">
      <c r="A23" s="109" t="s">
        <v>55</v>
      </c>
      <c r="B23" s="110"/>
      <c r="C23" s="133">
        <f>SUM(D23:E23)</f>
        <v>365</v>
      </c>
      <c r="D23" s="134">
        <f>D21+D14+D12+D10+D8+D6</f>
        <v>182.5</v>
      </c>
      <c r="E23" s="135">
        <f>E21+E14+E12+E10+E8+E6</f>
        <v>182.5</v>
      </c>
      <c r="F23" s="139"/>
      <c r="G23" s="139"/>
      <c r="H23" s="139"/>
      <c r="I23" s="139"/>
      <c r="J23" s="139"/>
      <c r="K23" s="139"/>
      <c r="L23" s="139"/>
    </row>
    <row r="24" spans="1:12" ht="16" thickBot="1" x14ac:dyDescent="0.25">
      <c r="A24" s="112"/>
      <c r="B24" s="113"/>
      <c r="C24" s="113"/>
      <c r="D24" s="113"/>
      <c r="E24" s="114"/>
      <c r="F24" s="139"/>
      <c r="G24" s="139"/>
      <c r="H24" s="139"/>
      <c r="I24" s="139"/>
      <c r="J24" s="139"/>
      <c r="K24" s="139"/>
      <c r="L24" s="139"/>
    </row>
    <row r="25" spans="1:12" ht="16" thickBot="1" x14ac:dyDescent="0.25">
      <c r="A25" s="112" t="s">
        <v>129</v>
      </c>
      <c r="B25" s="113"/>
      <c r="C25" s="136">
        <f>D25+E25</f>
        <v>1</v>
      </c>
      <c r="D25" s="170">
        <f>D23/C23</f>
        <v>0.5</v>
      </c>
      <c r="E25" s="171">
        <f>E23/C23</f>
        <v>0.5</v>
      </c>
      <c r="F25" s="139"/>
      <c r="G25" s="139"/>
      <c r="H25" s="139"/>
      <c r="I25" s="139"/>
      <c r="J25" s="139"/>
      <c r="K25" s="139"/>
      <c r="L25" s="139"/>
    </row>
  </sheetData>
  <sheetProtection algorithmName="SHA-512" hashValue="HIjIC2a/rv4YabESLcxsrwoxdZ/thlDeRyoCS1NU46+IrlGVHyqtyYSKcDXHQ/gu6LEQKslcqQDvutEE+Wz+EQ==" saltValue="vZWtDirDZp6Km9qDgwEIkg==" spinCount="100000" sheet="1" objects="1" scenarios="1" selectLockedCells="1"/>
  <pageMargins left="0.7" right="0.7" top="0.75" bottom="0.75" header="0.3" footer="0.3"/>
  <pageSetup paperSize="9" orientation="portrait" r:id="rId1"/>
  <headerFooter>
    <oddHeader>&amp;C&amp;"Calibri,Standaard"&amp;K000000&amp;G</oddHeader>
  </headerFooter>
  <legacyDrawingHF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6"/>
  <sheetViews>
    <sheetView showGridLines="0" tabSelected="1" workbookViewId="0">
      <selection activeCell="Z29" sqref="Z29"/>
    </sheetView>
  </sheetViews>
  <sheetFormatPr baseColWidth="10" defaultColWidth="8.83203125" defaultRowHeight="15" x14ac:dyDescent="0.2"/>
  <cols>
    <col min="1" max="1" width="3" customWidth="1"/>
    <col min="2" max="2" width="10" customWidth="1"/>
    <col min="21" max="21" width="2.83203125" customWidth="1"/>
    <col min="23" max="25" width="0" hidden="1" customWidth="1"/>
    <col min="26" max="26" width="10.5" bestFit="1" customWidth="1"/>
  </cols>
  <sheetData>
    <row r="1" spans="1:27" ht="16" thickBot="1" x14ac:dyDescent="0.25"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9">
        <v>10</v>
      </c>
      <c r="L1" s="39">
        <v>11</v>
      </c>
      <c r="M1" s="39">
        <v>12</v>
      </c>
      <c r="N1" s="39">
        <v>13</v>
      </c>
      <c r="O1" s="39">
        <v>14</v>
      </c>
      <c r="P1" s="39">
        <v>15</v>
      </c>
      <c r="Q1" s="39">
        <v>16</v>
      </c>
      <c r="R1" s="39">
        <v>17</v>
      </c>
    </row>
    <row r="2" spans="1:27" ht="16" thickBot="1" x14ac:dyDescent="0.25">
      <c r="C2" s="248" t="s">
        <v>82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27" x14ac:dyDescent="0.2">
      <c r="B3" s="40" t="s">
        <v>83</v>
      </c>
      <c r="C3" s="41">
        <v>4</v>
      </c>
      <c r="D3" s="42">
        <v>3</v>
      </c>
      <c r="E3" s="43">
        <v>2</v>
      </c>
      <c r="F3" s="44">
        <v>1</v>
      </c>
      <c r="G3" s="41">
        <v>4</v>
      </c>
      <c r="H3" s="42">
        <v>3</v>
      </c>
      <c r="I3" s="43">
        <v>2</v>
      </c>
      <c r="J3" s="44">
        <v>1</v>
      </c>
      <c r="K3" s="41">
        <v>4</v>
      </c>
      <c r="L3" s="42">
        <v>3</v>
      </c>
      <c r="M3" s="43">
        <v>2</v>
      </c>
      <c r="N3" s="44">
        <v>1</v>
      </c>
      <c r="O3" s="41">
        <v>4</v>
      </c>
      <c r="P3" s="42">
        <v>3</v>
      </c>
      <c r="Q3" s="43">
        <v>2</v>
      </c>
      <c r="R3" s="44">
        <v>1</v>
      </c>
    </row>
    <row r="4" spans="1:27" x14ac:dyDescent="0.2">
      <c r="B4" s="45" t="s">
        <v>84</v>
      </c>
      <c r="C4" s="46">
        <v>1</v>
      </c>
      <c r="D4" s="47">
        <v>1</v>
      </c>
      <c r="E4" s="47">
        <v>1</v>
      </c>
      <c r="F4" s="48">
        <v>1</v>
      </c>
      <c r="G4" s="46">
        <v>2</v>
      </c>
      <c r="H4" s="47">
        <v>2</v>
      </c>
      <c r="I4" s="47">
        <v>2</v>
      </c>
      <c r="J4" s="48">
        <v>2</v>
      </c>
      <c r="K4" s="46">
        <v>3</v>
      </c>
      <c r="L4" s="47">
        <v>3</v>
      </c>
      <c r="M4" s="47">
        <v>3</v>
      </c>
      <c r="N4" s="48">
        <v>3</v>
      </c>
      <c r="O4" s="46">
        <v>4</v>
      </c>
      <c r="P4" s="47">
        <v>4</v>
      </c>
      <c r="Q4" s="47">
        <v>4</v>
      </c>
      <c r="R4" s="48">
        <v>4</v>
      </c>
    </row>
    <row r="5" spans="1:27" x14ac:dyDescent="0.2">
      <c r="A5" s="39">
        <v>1</v>
      </c>
      <c r="B5" s="49">
        <v>99</v>
      </c>
      <c r="C5" s="50">
        <f>C3*10+C4</f>
        <v>41</v>
      </c>
      <c r="D5" s="50">
        <f t="shared" ref="D5:R5" si="0">D3*10+D4</f>
        <v>31</v>
      </c>
      <c r="E5" s="50">
        <f t="shared" si="0"/>
        <v>21</v>
      </c>
      <c r="F5" s="50">
        <f t="shared" si="0"/>
        <v>11</v>
      </c>
      <c r="G5" s="50">
        <f t="shared" si="0"/>
        <v>42</v>
      </c>
      <c r="H5" s="50">
        <f t="shared" si="0"/>
        <v>32</v>
      </c>
      <c r="I5" s="50">
        <f t="shared" si="0"/>
        <v>22</v>
      </c>
      <c r="J5" s="50">
        <f t="shared" si="0"/>
        <v>12</v>
      </c>
      <c r="K5" s="50">
        <f t="shared" si="0"/>
        <v>43</v>
      </c>
      <c r="L5" s="50">
        <f t="shared" si="0"/>
        <v>33</v>
      </c>
      <c r="M5" s="50">
        <f t="shared" si="0"/>
        <v>23</v>
      </c>
      <c r="N5" s="50">
        <f t="shared" si="0"/>
        <v>13</v>
      </c>
      <c r="O5" s="50">
        <f t="shared" si="0"/>
        <v>44</v>
      </c>
      <c r="P5" s="50">
        <f t="shared" si="0"/>
        <v>34</v>
      </c>
      <c r="Q5" s="50">
        <f t="shared" si="0"/>
        <v>24</v>
      </c>
      <c r="R5" s="50">
        <f t="shared" si="0"/>
        <v>14</v>
      </c>
    </row>
    <row r="6" spans="1:27" x14ac:dyDescent="0.2">
      <c r="A6" s="39">
        <v>2</v>
      </c>
      <c r="B6" s="51" t="s">
        <v>85</v>
      </c>
      <c r="C6" s="52">
        <v>0.156</v>
      </c>
      <c r="D6" s="53">
        <f>C6-0.002</f>
        <v>0.154</v>
      </c>
      <c r="E6" s="54">
        <f t="shared" ref="E6:F6" si="1">D6-0.002</f>
        <v>0.152</v>
      </c>
      <c r="F6" s="55">
        <f t="shared" si="1"/>
        <v>0.15</v>
      </c>
      <c r="G6" s="52">
        <v>0.1245</v>
      </c>
      <c r="H6" s="53">
        <f>G6-0.002</f>
        <v>0.1225</v>
      </c>
      <c r="I6" s="54">
        <f t="shared" ref="I6:J6" si="2">H6-0.002</f>
        <v>0.1205</v>
      </c>
      <c r="J6" s="55">
        <f t="shared" si="2"/>
        <v>0.11849999999999999</v>
      </c>
      <c r="K6" s="52">
        <v>0.10199999999999999</v>
      </c>
      <c r="L6" s="53">
        <f>K6-0.002</f>
        <v>9.9999999999999992E-2</v>
      </c>
      <c r="M6" s="54">
        <f t="shared" ref="M6:N6" si="3">L6-0.002</f>
        <v>9.799999999999999E-2</v>
      </c>
      <c r="N6" s="55">
        <f t="shared" si="3"/>
        <v>9.5999999999999988E-2</v>
      </c>
      <c r="O6" s="52">
        <v>9.2999999999999999E-2</v>
      </c>
      <c r="P6" s="53">
        <f>O6-0.002</f>
        <v>9.0999999999999998E-2</v>
      </c>
      <c r="Q6" s="54">
        <f t="shared" ref="Q6:R6" si="4">P6-0.002</f>
        <v>8.8999999999999996E-2</v>
      </c>
      <c r="R6" s="55">
        <f t="shared" si="4"/>
        <v>8.6999999999999994E-2</v>
      </c>
    </row>
    <row r="7" spans="1:27" x14ac:dyDescent="0.2">
      <c r="A7" s="39">
        <v>3</v>
      </c>
      <c r="B7" s="56">
        <v>0</v>
      </c>
      <c r="C7" s="52">
        <v>0.13780000000000001</v>
      </c>
      <c r="D7" s="53">
        <v>0.1361</v>
      </c>
      <c r="E7" s="54">
        <v>0.1343</v>
      </c>
      <c r="F7" s="55">
        <v>0.13250000000000001</v>
      </c>
      <c r="G7" s="52">
        <v>0.11</v>
      </c>
      <c r="H7" s="53">
        <v>0.1082</v>
      </c>
      <c r="I7" s="54">
        <v>0.1065</v>
      </c>
      <c r="J7" s="55">
        <v>0.1047</v>
      </c>
      <c r="K7" s="52">
        <v>9.01E-2</v>
      </c>
      <c r="L7" s="53">
        <v>8.8300000000000003E-2</v>
      </c>
      <c r="M7" s="54">
        <v>8.6599999999999996E-2</v>
      </c>
      <c r="N7" s="55">
        <v>8.48E-2</v>
      </c>
      <c r="O7" s="52">
        <v>8.2199999999999995E-2</v>
      </c>
      <c r="P7" s="53">
        <v>8.0399999999999999E-2</v>
      </c>
      <c r="Q7" s="54">
        <v>7.8600000000000003E-2</v>
      </c>
      <c r="R7" s="55">
        <v>7.6899999999999996E-2</v>
      </c>
    </row>
    <row r="8" spans="1:27" x14ac:dyDescent="0.2">
      <c r="A8" s="39">
        <v>4</v>
      </c>
      <c r="B8" s="56">
        <v>1</v>
      </c>
      <c r="C8" s="52">
        <v>0.13780000000000001</v>
      </c>
      <c r="D8" s="53">
        <f t="shared" ref="D8:D12" si="5">C8-0.0017</f>
        <v>0.1361</v>
      </c>
      <c r="E8" s="54">
        <v>0.1343</v>
      </c>
      <c r="F8" s="55">
        <v>0.13250000000000001</v>
      </c>
      <c r="G8" s="52">
        <v>0.11</v>
      </c>
      <c r="H8" s="53">
        <v>0.1082</v>
      </c>
      <c r="I8" s="54">
        <v>0.1065</v>
      </c>
      <c r="J8" s="55">
        <v>0.1047</v>
      </c>
      <c r="K8" s="52">
        <v>9.01E-2</v>
      </c>
      <c r="L8" s="53">
        <v>8.8300000000000003E-2</v>
      </c>
      <c r="M8" s="54">
        <v>8.6599999999999996E-2</v>
      </c>
      <c r="N8" s="55">
        <v>8.48E-2</v>
      </c>
      <c r="O8" s="52">
        <v>8.2199999999999995E-2</v>
      </c>
      <c r="P8" s="53">
        <v>8.0399999999999999E-2</v>
      </c>
      <c r="Q8" s="54">
        <v>7.8600000000000003E-2</v>
      </c>
      <c r="R8" s="55">
        <v>7.6899999999999996E-2</v>
      </c>
    </row>
    <row r="9" spans="1:27" x14ac:dyDescent="0.2">
      <c r="A9" s="39">
        <v>5</v>
      </c>
      <c r="B9" s="56">
        <v>2</v>
      </c>
      <c r="C9" s="52">
        <v>0.13780000000000001</v>
      </c>
      <c r="D9" s="53">
        <f t="shared" si="5"/>
        <v>0.1361</v>
      </c>
      <c r="E9" s="54">
        <v>0.1343</v>
      </c>
      <c r="F9" s="55">
        <v>0.13250000000000001</v>
      </c>
      <c r="G9" s="52">
        <v>0.11</v>
      </c>
      <c r="H9" s="53">
        <v>0.1082</v>
      </c>
      <c r="I9" s="54">
        <v>0.1065</v>
      </c>
      <c r="J9" s="55">
        <v>0.1047</v>
      </c>
      <c r="K9" s="52">
        <v>9.01E-2</v>
      </c>
      <c r="L9" s="53">
        <v>8.8300000000000003E-2</v>
      </c>
      <c r="M9" s="54">
        <v>8.6599999999999996E-2</v>
      </c>
      <c r="N9" s="55">
        <v>8.48E-2</v>
      </c>
      <c r="O9" s="52">
        <v>8.2199999999999995E-2</v>
      </c>
      <c r="P9" s="53">
        <v>8.0399999999999999E-2</v>
      </c>
      <c r="Q9" s="54">
        <v>7.8600000000000003E-2</v>
      </c>
      <c r="R9" s="55">
        <v>7.6899999999999996E-2</v>
      </c>
    </row>
    <row r="10" spans="1:27" x14ac:dyDescent="0.2">
      <c r="A10" s="39">
        <v>6</v>
      </c>
      <c r="B10" s="56">
        <v>3</v>
      </c>
      <c r="C10" s="52">
        <v>0.13780000000000001</v>
      </c>
      <c r="D10" s="53">
        <f t="shared" si="5"/>
        <v>0.1361</v>
      </c>
      <c r="E10" s="54">
        <v>0.1343</v>
      </c>
      <c r="F10" s="55">
        <v>0.13250000000000001</v>
      </c>
      <c r="G10" s="52">
        <v>0.11</v>
      </c>
      <c r="H10" s="53">
        <v>0.1082</v>
      </c>
      <c r="I10" s="54">
        <v>0.1065</v>
      </c>
      <c r="J10" s="55">
        <v>0.1047</v>
      </c>
      <c r="K10" s="52">
        <v>9.01E-2</v>
      </c>
      <c r="L10" s="53">
        <v>8.8300000000000003E-2</v>
      </c>
      <c r="M10" s="54">
        <v>8.6599999999999996E-2</v>
      </c>
      <c r="N10" s="55">
        <v>8.48E-2</v>
      </c>
      <c r="O10" s="52">
        <v>8.2199999999999995E-2</v>
      </c>
      <c r="P10" s="53">
        <v>8.0399999999999999E-2</v>
      </c>
      <c r="Q10" s="54">
        <v>7.8600000000000003E-2</v>
      </c>
      <c r="R10" s="55">
        <v>7.6899999999999996E-2</v>
      </c>
    </row>
    <row r="11" spans="1:27" x14ac:dyDescent="0.2">
      <c r="A11" s="39">
        <v>7</v>
      </c>
      <c r="B11" s="56">
        <v>4</v>
      </c>
      <c r="C11" s="52">
        <v>0.13780000000000001</v>
      </c>
      <c r="D11" s="53">
        <f t="shared" si="5"/>
        <v>0.1361</v>
      </c>
      <c r="E11" s="54">
        <v>0.1343</v>
      </c>
      <c r="F11" s="55">
        <v>0.13250000000000001</v>
      </c>
      <c r="G11" s="52">
        <v>0.11</v>
      </c>
      <c r="H11" s="53">
        <v>0.1082</v>
      </c>
      <c r="I11" s="54">
        <v>0.1065</v>
      </c>
      <c r="J11" s="55">
        <v>0.1047</v>
      </c>
      <c r="K11" s="52">
        <v>9.01E-2</v>
      </c>
      <c r="L11" s="53">
        <v>8.8300000000000003E-2</v>
      </c>
      <c r="M11" s="54">
        <v>8.6599999999999996E-2</v>
      </c>
      <c r="N11" s="55">
        <v>8.48E-2</v>
      </c>
      <c r="O11" s="52">
        <v>8.2199999999999995E-2</v>
      </c>
      <c r="P11" s="53">
        <v>8.0399999999999999E-2</v>
      </c>
      <c r="Q11" s="54">
        <v>7.8600000000000003E-2</v>
      </c>
      <c r="R11" s="55">
        <v>7.6899999999999996E-2</v>
      </c>
    </row>
    <row r="12" spans="1:27" x14ac:dyDescent="0.2">
      <c r="A12" s="39">
        <v>8</v>
      </c>
      <c r="B12" s="56">
        <v>5</v>
      </c>
      <c r="C12" s="52">
        <v>0.13780000000000001</v>
      </c>
      <c r="D12" s="53">
        <f t="shared" si="5"/>
        <v>0.1361</v>
      </c>
      <c r="E12" s="54">
        <v>0.1343</v>
      </c>
      <c r="F12" s="55">
        <v>0.13250000000000001</v>
      </c>
      <c r="G12" s="52">
        <v>0.11</v>
      </c>
      <c r="H12" s="53">
        <v>0.1082</v>
      </c>
      <c r="I12" s="54">
        <v>0.1065</v>
      </c>
      <c r="J12" s="55">
        <v>0.1047</v>
      </c>
      <c r="K12" s="52">
        <v>9.01E-2</v>
      </c>
      <c r="L12" s="53">
        <v>8.8300000000000003E-2</v>
      </c>
      <c r="M12" s="54">
        <v>8.6599999999999996E-2</v>
      </c>
      <c r="N12" s="55">
        <v>8.48E-2</v>
      </c>
      <c r="O12" s="52">
        <v>8.2199999999999995E-2</v>
      </c>
      <c r="P12" s="53">
        <v>8.0399999999999999E-2</v>
      </c>
      <c r="Q12" s="54">
        <v>7.8600000000000003E-2</v>
      </c>
      <c r="R12" s="55">
        <v>7.6899999999999996E-2</v>
      </c>
    </row>
    <row r="13" spans="1:27" x14ac:dyDescent="0.2">
      <c r="A13" s="39">
        <v>9</v>
      </c>
      <c r="B13" s="56">
        <v>6</v>
      </c>
      <c r="C13" s="52">
        <f>C12+0.0026</f>
        <v>0.1404</v>
      </c>
      <c r="D13" s="53">
        <v>0.1386</v>
      </c>
      <c r="E13" s="54">
        <v>0.1368</v>
      </c>
      <c r="F13" s="55">
        <f>F12+0.0025</f>
        <v>0.13500000000000001</v>
      </c>
      <c r="G13" s="52">
        <v>0.11210000000000001</v>
      </c>
      <c r="H13" s="53">
        <v>0.1103</v>
      </c>
      <c r="I13" s="54">
        <f t="shared" ref="I13" si="6">I12+0.002</f>
        <v>0.1085</v>
      </c>
      <c r="J13" s="55">
        <f>J12+0.002</f>
        <v>0.1067</v>
      </c>
      <c r="K13" s="52">
        <f>K12+0.0017</f>
        <v>9.1799999999999993E-2</v>
      </c>
      <c r="L13" s="53">
        <f t="shared" ref="L13:L28" si="7">L12+0.0017</f>
        <v>0.09</v>
      </c>
      <c r="M13" s="54">
        <f>M12+0.0016</f>
        <v>8.8200000000000001E-2</v>
      </c>
      <c r="N13" s="55">
        <f>N12+0.0016</f>
        <v>8.6400000000000005E-2</v>
      </c>
      <c r="O13" s="52">
        <f>O12+0.0015</f>
        <v>8.3699999999999997E-2</v>
      </c>
      <c r="P13" s="53">
        <f>P12+0.0015</f>
        <v>8.1900000000000001E-2</v>
      </c>
      <c r="Q13" s="54">
        <f>Q12+0.0015</f>
        <v>8.0100000000000005E-2</v>
      </c>
      <c r="R13" s="55">
        <v>7.8299999999999995E-2</v>
      </c>
      <c r="T13" s="57" t="s">
        <v>83</v>
      </c>
      <c r="U13" s="57"/>
      <c r="V13" s="58">
        <f>IF(Z13&gt;6000,4,IF(AND(Z13&gt;=4501,Z13&lt;=6000),3,IF(AND(Z13&gt;=2001,Z13&lt;=4500),2,1)))</f>
        <v>3</v>
      </c>
      <c r="Z13" s="72">
        <f>'Berekening verblijf+overschrijd'!$C$25</f>
        <v>5300</v>
      </c>
      <c r="AA13" s="39" t="s">
        <v>99</v>
      </c>
    </row>
    <row r="14" spans="1:27" x14ac:dyDescent="0.2">
      <c r="A14" s="39">
        <v>10</v>
      </c>
      <c r="B14" s="56">
        <v>7</v>
      </c>
      <c r="C14" s="52">
        <f t="shared" ref="C14:C31" si="8">C13+0.0026</f>
        <v>0.14299999999999999</v>
      </c>
      <c r="D14" s="53">
        <v>0.14119999999999999</v>
      </c>
      <c r="E14" s="54">
        <v>0.13930000000000001</v>
      </c>
      <c r="F14" s="55">
        <f t="shared" ref="F14:F31" si="9">F13+0.0025</f>
        <v>0.13750000000000001</v>
      </c>
      <c r="G14" s="52">
        <v>0.11409999999999999</v>
      </c>
      <c r="H14" s="53">
        <v>0.1123</v>
      </c>
      <c r="I14" s="54">
        <f t="shared" ref="I14" si="10">I13+0.002</f>
        <v>0.1105</v>
      </c>
      <c r="J14" s="55">
        <v>0.1086</v>
      </c>
      <c r="K14" s="52">
        <f t="shared" ref="K14:L29" si="11">K13+0.0017</f>
        <v>9.3499999999999986E-2</v>
      </c>
      <c r="L14" s="53">
        <f t="shared" si="7"/>
        <v>9.169999999999999E-2</v>
      </c>
      <c r="M14" s="54">
        <f t="shared" ref="M14:N29" si="12">M13+0.0016</f>
        <v>8.9800000000000005E-2</v>
      </c>
      <c r="N14" s="55">
        <f t="shared" si="12"/>
        <v>8.8000000000000009E-2</v>
      </c>
      <c r="O14" s="52">
        <f t="shared" ref="O14:R29" si="13">O13+0.0015</f>
        <v>8.5199999999999998E-2</v>
      </c>
      <c r="P14" s="53">
        <f t="shared" si="13"/>
        <v>8.3400000000000002E-2</v>
      </c>
      <c r="Q14" s="54">
        <f t="shared" si="13"/>
        <v>8.1600000000000006E-2</v>
      </c>
      <c r="R14" s="55">
        <v>7.9699999999999993E-2</v>
      </c>
      <c r="T14" s="57" t="s">
        <v>86</v>
      </c>
      <c r="U14" s="57"/>
      <c r="V14" s="59">
        <f>COUNTIF($V$16:$V$19,"&gt;0")</f>
        <v>2</v>
      </c>
    </row>
    <row r="15" spans="1:27" x14ac:dyDescent="0.2">
      <c r="A15" s="39">
        <v>11</v>
      </c>
      <c r="B15" s="56">
        <v>8</v>
      </c>
      <c r="C15" s="52">
        <f t="shared" si="8"/>
        <v>0.14559999999999998</v>
      </c>
      <c r="D15" s="53">
        <v>0.14369999999999999</v>
      </c>
      <c r="E15" s="54">
        <v>0.1419</v>
      </c>
      <c r="F15" s="55">
        <f t="shared" si="9"/>
        <v>0.14000000000000001</v>
      </c>
      <c r="G15" s="52">
        <v>0.1162</v>
      </c>
      <c r="H15" s="53">
        <v>0.1143</v>
      </c>
      <c r="I15" s="54">
        <f t="shared" ref="I15" si="14">I14+0.002</f>
        <v>0.1125</v>
      </c>
      <c r="J15" s="55">
        <f t="shared" ref="J15:J29" si="15">J14+0.002</f>
        <v>0.1106</v>
      </c>
      <c r="K15" s="52">
        <f t="shared" si="11"/>
        <v>9.5199999999999979E-2</v>
      </c>
      <c r="L15" s="53">
        <v>9.3299999999999994E-2</v>
      </c>
      <c r="M15" s="54">
        <v>9.1499999999999998E-2</v>
      </c>
      <c r="N15" s="55">
        <f t="shared" si="12"/>
        <v>8.9600000000000013E-2</v>
      </c>
      <c r="O15" s="52">
        <v>8.6800000000000002E-2</v>
      </c>
      <c r="P15" s="53">
        <f t="shared" si="13"/>
        <v>8.4900000000000003E-2</v>
      </c>
      <c r="Q15" s="54">
        <f t="shared" si="13"/>
        <v>8.3100000000000007E-2</v>
      </c>
      <c r="R15" s="55">
        <f t="shared" si="13"/>
        <v>8.1199999999999994E-2</v>
      </c>
      <c r="T15" t="s">
        <v>87</v>
      </c>
      <c r="V15" s="60">
        <f>V13*10+V14</f>
        <v>32</v>
      </c>
      <c r="W15" s="61" t="s">
        <v>88</v>
      </c>
      <c r="X15" s="61" t="s">
        <v>89</v>
      </c>
      <c r="Y15" s="61"/>
      <c r="Z15" s="61"/>
    </row>
    <row r="16" spans="1:27" x14ac:dyDescent="0.2">
      <c r="A16" s="39">
        <v>12</v>
      </c>
      <c r="B16" s="56">
        <v>9</v>
      </c>
      <c r="C16" s="52">
        <f t="shared" si="8"/>
        <v>0.14819999999999997</v>
      </c>
      <c r="D16" s="53">
        <v>0.14630000000000001</v>
      </c>
      <c r="E16" s="54">
        <v>0.1444</v>
      </c>
      <c r="F16" s="55">
        <f t="shared" si="9"/>
        <v>0.14250000000000002</v>
      </c>
      <c r="G16" s="52">
        <v>0.1183</v>
      </c>
      <c r="H16" s="53">
        <v>0.1164</v>
      </c>
      <c r="I16" s="54">
        <f t="shared" ref="I16" si="16">I15+0.002</f>
        <v>0.1145</v>
      </c>
      <c r="J16" s="55">
        <f t="shared" si="15"/>
        <v>0.11260000000000001</v>
      </c>
      <c r="K16" s="52">
        <f t="shared" si="11"/>
        <v>9.6899999999999972E-2</v>
      </c>
      <c r="L16" s="53">
        <f t="shared" si="7"/>
        <v>9.4999999999999987E-2</v>
      </c>
      <c r="M16" s="54">
        <f t="shared" si="12"/>
        <v>9.3100000000000002E-2</v>
      </c>
      <c r="N16" s="55">
        <f t="shared" si="12"/>
        <v>9.1200000000000017E-2</v>
      </c>
      <c r="O16" s="52">
        <v>8.8400000000000006E-2</v>
      </c>
      <c r="P16" s="53">
        <v>8.6499999999999994E-2</v>
      </c>
      <c r="Q16" s="54">
        <f t="shared" si="13"/>
        <v>8.4600000000000009E-2</v>
      </c>
      <c r="R16" s="55">
        <f t="shared" si="13"/>
        <v>8.2699999999999996E-2</v>
      </c>
      <c r="T16" s="57" t="s">
        <v>90</v>
      </c>
      <c r="U16" s="57">
        <v>1</v>
      </c>
      <c r="V16" s="59">
        <f>'Berekening verblijf+overschrijd'!I6</f>
        <v>11</v>
      </c>
      <c r="W16">
        <f>MATCH($V16,$B$5:$B$31,0)</f>
        <v>14</v>
      </c>
      <c r="X16">
        <f>MATCH($V$15,$B$5:$R$5,0)</f>
        <v>7</v>
      </c>
      <c r="Y16" s="62">
        <f>INDEX($B$5:$R$31,W16,X16)</f>
        <v>0.1205</v>
      </c>
      <c r="Z16" s="71">
        <f>IF(V16&lt;&gt;0,Y16,0)</f>
        <v>0.1205</v>
      </c>
    </row>
    <row r="17" spans="1:26" x14ac:dyDescent="0.2">
      <c r="A17" s="39">
        <v>13</v>
      </c>
      <c r="B17" s="56">
        <v>10</v>
      </c>
      <c r="C17" s="52">
        <f t="shared" si="8"/>
        <v>0.15079999999999996</v>
      </c>
      <c r="D17" s="53">
        <v>0.1489</v>
      </c>
      <c r="E17" s="54">
        <v>0.1469</v>
      </c>
      <c r="F17" s="55">
        <f t="shared" si="9"/>
        <v>0.14500000000000002</v>
      </c>
      <c r="G17" s="52">
        <v>0.1203</v>
      </c>
      <c r="H17" s="53">
        <v>0.11840000000000001</v>
      </c>
      <c r="I17" s="54">
        <f t="shared" ref="I17" si="17">I16+0.002</f>
        <v>0.11650000000000001</v>
      </c>
      <c r="J17" s="55">
        <v>0.1145</v>
      </c>
      <c r="K17" s="52">
        <f t="shared" si="11"/>
        <v>9.8599999999999965E-2</v>
      </c>
      <c r="L17" s="53">
        <f t="shared" si="7"/>
        <v>9.669999999999998E-2</v>
      </c>
      <c r="M17" s="54">
        <f t="shared" si="12"/>
        <v>9.4700000000000006E-2</v>
      </c>
      <c r="N17" s="55">
        <f t="shared" si="12"/>
        <v>9.2800000000000021E-2</v>
      </c>
      <c r="O17" s="52">
        <v>8.9899999999999994E-2</v>
      </c>
      <c r="P17" s="53">
        <f t="shared" si="13"/>
        <v>8.7999999999999995E-2</v>
      </c>
      <c r="Q17" s="54">
        <v>8.5999999999999993E-2</v>
      </c>
      <c r="R17" s="55">
        <v>8.4099999999999994E-2</v>
      </c>
      <c r="T17" s="57" t="s">
        <v>90</v>
      </c>
      <c r="U17" s="57">
        <v>2</v>
      </c>
      <c r="V17" s="59">
        <f>'Berekening verblijf+overschrijd'!I7</f>
        <v>13</v>
      </c>
      <c r="W17">
        <f t="shared" ref="W17:W19" si="18">MATCH($V17,$B$5:$B$31,0)</f>
        <v>16</v>
      </c>
      <c r="X17">
        <f t="shared" ref="X17:X19" si="19">MATCH($V$15,$B$5:$R$5,0)</f>
        <v>7</v>
      </c>
      <c r="Y17" s="62">
        <f t="shared" ref="Y17:Y19" si="20">INDEX($B$5:$R$31,W17,X17)</f>
        <v>0.1245</v>
      </c>
      <c r="Z17" s="71">
        <f t="shared" ref="Z17:Z19" si="21">IF(V17&lt;&gt;0,Y17,0)</f>
        <v>0.1245</v>
      </c>
    </row>
    <row r="18" spans="1:26" x14ac:dyDescent="0.2">
      <c r="A18" s="39">
        <v>14</v>
      </c>
      <c r="B18" s="56">
        <v>11</v>
      </c>
      <c r="C18" s="52">
        <f t="shared" si="8"/>
        <v>0.15339999999999995</v>
      </c>
      <c r="D18" s="53">
        <v>0.15140000000000001</v>
      </c>
      <c r="E18" s="54">
        <v>0.14949999999999999</v>
      </c>
      <c r="F18" s="55">
        <f t="shared" si="9"/>
        <v>0.14750000000000002</v>
      </c>
      <c r="G18" s="52">
        <v>0.12239999999999999</v>
      </c>
      <c r="H18" s="53">
        <v>0.1205</v>
      </c>
      <c r="I18" s="54">
        <f t="shared" ref="I18" si="22">I17+0.002</f>
        <v>0.11850000000000001</v>
      </c>
      <c r="J18" s="55">
        <f t="shared" si="15"/>
        <v>0.11650000000000001</v>
      </c>
      <c r="K18" s="52">
        <f t="shared" si="11"/>
        <v>0.10029999999999996</v>
      </c>
      <c r="L18" s="53">
        <v>9.8299999999999998E-2</v>
      </c>
      <c r="M18" s="54">
        <v>9.64E-2</v>
      </c>
      <c r="N18" s="55">
        <f t="shared" si="12"/>
        <v>9.4400000000000026E-2</v>
      </c>
      <c r="O18" s="52">
        <v>9.1499999999999998E-2</v>
      </c>
      <c r="P18" s="53">
        <f t="shared" si="13"/>
        <v>8.9499999999999996E-2</v>
      </c>
      <c r="Q18" s="54">
        <f t="shared" si="13"/>
        <v>8.7499999999999994E-2</v>
      </c>
      <c r="R18" s="55">
        <f t="shared" si="13"/>
        <v>8.5599999999999996E-2</v>
      </c>
      <c r="T18" s="57" t="s">
        <v>90</v>
      </c>
      <c r="U18" s="57">
        <v>3</v>
      </c>
      <c r="V18" s="59">
        <f>'Berekening verblijf+overschrijd'!I8</f>
        <v>0</v>
      </c>
      <c r="W18">
        <f t="shared" si="18"/>
        <v>3</v>
      </c>
      <c r="X18">
        <f t="shared" si="19"/>
        <v>7</v>
      </c>
      <c r="Y18" s="62">
        <f t="shared" si="20"/>
        <v>0.1082</v>
      </c>
      <c r="Z18" s="71">
        <f t="shared" si="21"/>
        <v>0</v>
      </c>
    </row>
    <row r="19" spans="1:26" x14ac:dyDescent="0.2">
      <c r="A19" s="39">
        <v>15</v>
      </c>
      <c r="B19" s="56">
        <v>12</v>
      </c>
      <c r="C19" s="52">
        <f t="shared" si="8"/>
        <v>0.15599999999999994</v>
      </c>
      <c r="D19" s="53">
        <v>0.154</v>
      </c>
      <c r="E19" s="54">
        <v>0.152</v>
      </c>
      <c r="F19" s="55">
        <f t="shared" si="9"/>
        <v>0.15000000000000002</v>
      </c>
      <c r="G19" s="52">
        <v>0.1245</v>
      </c>
      <c r="H19" s="53">
        <v>0.1225</v>
      </c>
      <c r="I19" s="54">
        <f t="shared" ref="I19" si="23">I18+0.002</f>
        <v>0.12050000000000001</v>
      </c>
      <c r="J19" s="55">
        <f t="shared" si="15"/>
        <v>0.11850000000000001</v>
      </c>
      <c r="K19" s="52">
        <f t="shared" si="11"/>
        <v>0.10199999999999995</v>
      </c>
      <c r="L19" s="53">
        <f t="shared" si="7"/>
        <v>9.9999999999999992E-2</v>
      </c>
      <c r="M19" s="54">
        <f t="shared" si="12"/>
        <v>9.8000000000000004E-2</v>
      </c>
      <c r="N19" s="55">
        <f t="shared" si="12"/>
        <v>9.600000000000003E-2</v>
      </c>
      <c r="O19" s="52">
        <f t="shared" si="13"/>
        <v>9.2999999999999999E-2</v>
      </c>
      <c r="P19" s="53">
        <f t="shared" si="13"/>
        <v>9.0999999999999998E-2</v>
      </c>
      <c r="Q19" s="54">
        <f t="shared" si="13"/>
        <v>8.8999999999999996E-2</v>
      </c>
      <c r="R19" s="55">
        <v>8.6999999999999994E-2</v>
      </c>
      <c r="T19" s="57" t="s">
        <v>90</v>
      </c>
      <c r="U19" s="57">
        <v>4</v>
      </c>
      <c r="V19" s="63">
        <f>'Berekening verblijf+overschrijd'!I9</f>
        <v>0</v>
      </c>
      <c r="W19" s="61">
        <f t="shared" si="18"/>
        <v>3</v>
      </c>
      <c r="X19" s="61">
        <f t="shared" si="19"/>
        <v>7</v>
      </c>
      <c r="Y19" s="64">
        <f t="shared" si="20"/>
        <v>0.1082</v>
      </c>
      <c r="Z19" s="73">
        <f t="shared" si="21"/>
        <v>0</v>
      </c>
    </row>
    <row r="20" spans="1:26" x14ac:dyDescent="0.2">
      <c r="A20" s="39">
        <v>16</v>
      </c>
      <c r="B20" s="56">
        <v>13</v>
      </c>
      <c r="C20" s="52">
        <f t="shared" si="8"/>
        <v>0.15859999999999994</v>
      </c>
      <c r="D20" s="53">
        <v>0.15655714285714301</v>
      </c>
      <c r="E20" s="54">
        <v>0.1545</v>
      </c>
      <c r="F20" s="55">
        <f t="shared" si="9"/>
        <v>0.15250000000000002</v>
      </c>
      <c r="G20" s="52">
        <v>0.12659999999999999</v>
      </c>
      <c r="H20" s="53">
        <v>0.1245</v>
      </c>
      <c r="I20" s="54">
        <f t="shared" ref="I20" si="24">I19+0.002</f>
        <v>0.12250000000000001</v>
      </c>
      <c r="J20" s="55">
        <f t="shared" si="15"/>
        <v>0.12050000000000001</v>
      </c>
      <c r="K20" s="52">
        <f t="shared" si="11"/>
        <v>0.10369999999999994</v>
      </c>
      <c r="L20" s="53">
        <f t="shared" si="7"/>
        <v>0.10169999999999998</v>
      </c>
      <c r="M20" s="54">
        <f t="shared" si="12"/>
        <v>9.9600000000000008E-2</v>
      </c>
      <c r="N20" s="55">
        <f t="shared" si="12"/>
        <v>9.7600000000000034E-2</v>
      </c>
      <c r="O20" s="52">
        <f t="shared" si="13"/>
        <v>9.4500000000000001E-2</v>
      </c>
      <c r="P20" s="53">
        <f t="shared" si="13"/>
        <v>9.2499999999999999E-2</v>
      </c>
      <c r="Q20" s="54">
        <f t="shared" si="13"/>
        <v>9.0499999999999997E-2</v>
      </c>
      <c r="R20" s="55">
        <v>8.8400000000000006E-2</v>
      </c>
      <c r="Y20" s="62"/>
      <c r="Z20" s="71">
        <f>SUM(Z16:Z19)</f>
        <v>0.245</v>
      </c>
    </row>
    <row r="21" spans="1:26" x14ac:dyDescent="0.2">
      <c r="A21" s="39">
        <v>17</v>
      </c>
      <c r="B21" s="56">
        <v>14</v>
      </c>
      <c r="C21" s="52">
        <f t="shared" si="8"/>
        <v>0.16119999999999993</v>
      </c>
      <c r="D21" s="53">
        <v>0.159121428571429</v>
      </c>
      <c r="E21" s="54">
        <v>0.15709999999999999</v>
      </c>
      <c r="F21" s="55">
        <f t="shared" si="9"/>
        <v>0.15500000000000003</v>
      </c>
      <c r="G21" s="52">
        <v>0.12870000000000001</v>
      </c>
      <c r="H21" s="53">
        <v>0.12659999999999999</v>
      </c>
      <c r="I21" s="54">
        <f t="shared" ref="I21" si="25">I20+0.002</f>
        <v>0.12450000000000001</v>
      </c>
      <c r="J21" s="55">
        <f t="shared" si="15"/>
        <v>0.12250000000000001</v>
      </c>
      <c r="K21" s="52">
        <f t="shared" si="11"/>
        <v>0.10539999999999994</v>
      </c>
      <c r="L21" s="53">
        <v>0.1033</v>
      </c>
      <c r="M21" s="54">
        <v>0.1013</v>
      </c>
      <c r="N21" s="55">
        <f t="shared" si="12"/>
        <v>9.9200000000000038E-2</v>
      </c>
      <c r="O21" s="52">
        <v>9.6100000000000005E-2</v>
      </c>
      <c r="P21" s="53">
        <f t="shared" si="13"/>
        <v>9.4E-2</v>
      </c>
      <c r="Q21" s="54">
        <f t="shared" si="13"/>
        <v>9.1999999999999998E-2</v>
      </c>
      <c r="R21" s="55">
        <f t="shared" si="13"/>
        <v>8.9900000000000008E-2</v>
      </c>
    </row>
    <row r="22" spans="1:26" x14ac:dyDescent="0.2">
      <c r="A22" s="39">
        <v>18</v>
      </c>
      <c r="B22" s="56">
        <v>15</v>
      </c>
      <c r="C22" s="52">
        <f t="shared" si="8"/>
        <v>0.16379999999999992</v>
      </c>
      <c r="D22" s="53">
        <v>0.16168571428571399</v>
      </c>
      <c r="E22" s="54">
        <v>0.15960833333333299</v>
      </c>
      <c r="F22" s="55">
        <f t="shared" si="9"/>
        <v>0.15750000000000003</v>
      </c>
      <c r="G22" s="52">
        <v>0.13070000000000001</v>
      </c>
      <c r="H22" s="53">
        <v>0.12859999999999999</v>
      </c>
      <c r="I22" s="54">
        <f t="shared" ref="I22" si="26">I21+0.002</f>
        <v>0.1265</v>
      </c>
      <c r="J22" s="55">
        <v>0.1244</v>
      </c>
      <c r="K22" s="52">
        <f t="shared" si="11"/>
        <v>0.10709999999999993</v>
      </c>
      <c r="L22" s="53">
        <f t="shared" si="7"/>
        <v>0.105</v>
      </c>
      <c r="M22" s="54">
        <f t="shared" si="12"/>
        <v>0.10290000000000001</v>
      </c>
      <c r="N22" s="55">
        <f t="shared" si="12"/>
        <v>0.10080000000000004</v>
      </c>
      <c r="O22" s="52">
        <f t="shared" si="13"/>
        <v>9.7600000000000006E-2</v>
      </c>
      <c r="P22" s="53">
        <f t="shared" si="13"/>
        <v>9.5500000000000002E-2</v>
      </c>
      <c r="Q22" s="54">
        <v>9.3399999999999997E-2</v>
      </c>
      <c r="R22" s="55">
        <v>9.1300000000000006E-2</v>
      </c>
    </row>
    <row r="23" spans="1:26" x14ac:dyDescent="0.2">
      <c r="A23" s="39">
        <v>19</v>
      </c>
      <c r="B23" s="56">
        <v>16</v>
      </c>
      <c r="C23" s="52">
        <f t="shared" si="8"/>
        <v>0.16639999999999991</v>
      </c>
      <c r="D23" s="53">
        <v>0.16425000000000001</v>
      </c>
      <c r="E23" s="54">
        <v>0.16220000000000001</v>
      </c>
      <c r="F23" s="55">
        <f t="shared" si="9"/>
        <v>0.16000000000000003</v>
      </c>
      <c r="G23" s="52">
        <v>0.1328</v>
      </c>
      <c r="H23" s="53">
        <v>0.13070000000000001</v>
      </c>
      <c r="I23" s="54">
        <f t="shared" ref="I23" si="27">I22+0.002</f>
        <v>0.1285</v>
      </c>
      <c r="J23" s="55">
        <f t="shared" si="15"/>
        <v>0.12639999999999998</v>
      </c>
      <c r="K23" s="52">
        <f t="shared" si="11"/>
        <v>0.10879999999999992</v>
      </c>
      <c r="L23" s="53">
        <f t="shared" si="7"/>
        <v>0.10669999999999999</v>
      </c>
      <c r="M23" s="54">
        <f t="shared" si="12"/>
        <v>0.10450000000000001</v>
      </c>
      <c r="N23" s="55">
        <f t="shared" si="12"/>
        <v>0.10240000000000005</v>
      </c>
      <c r="O23" s="52">
        <v>9.9199999999999997E-2</v>
      </c>
      <c r="P23" s="53">
        <v>9.7100000000000006E-2</v>
      </c>
      <c r="Q23" s="54">
        <f t="shared" si="13"/>
        <v>9.4899999999999998E-2</v>
      </c>
      <c r="R23" s="55">
        <f t="shared" si="13"/>
        <v>9.2800000000000007E-2</v>
      </c>
      <c r="V23" s="65"/>
    </row>
    <row r="24" spans="1:26" x14ac:dyDescent="0.2">
      <c r="A24" s="39">
        <v>20</v>
      </c>
      <c r="B24" s="56">
        <v>17</v>
      </c>
      <c r="C24" s="52">
        <f t="shared" si="8"/>
        <v>0.1689999999999999</v>
      </c>
      <c r="D24" s="53">
        <v>0.166814285714286</v>
      </c>
      <c r="E24" s="54">
        <v>0.16467833333333301</v>
      </c>
      <c r="F24" s="55">
        <f t="shared" si="9"/>
        <v>0.16250000000000003</v>
      </c>
      <c r="G24" s="52">
        <v>0.13489999999999999</v>
      </c>
      <c r="H24" s="53">
        <v>0.13270000000000001</v>
      </c>
      <c r="I24" s="54">
        <f t="shared" ref="I24" si="28">I23+0.002</f>
        <v>0.1305</v>
      </c>
      <c r="J24" s="55">
        <f t="shared" si="15"/>
        <v>0.12839999999999999</v>
      </c>
      <c r="K24" s="52">
        <f t="shared" si="11"/>
        <v>0.11049999999999992</v>
      </c>
      <c r="L24" s="53">
        <v>0.10829999999999999</v>
      </c>
      <c r="M24" s="54">
        <v>0.1062</v>
      </c>
      <c r="N24" s="55">
        <f t="shared" si="12"/>
        <v>0.10400000000000005</v>
      </c>
      <c r="O24" s="52">
        <v>0.1008</v>
      </c>
      <c r="P24" s="53">
        <f t="shared" si="13"/>
        <v>9.8600000000000007E-2</v>
      </c>
      <c r="Q24" s="54">
        <f t="shared" si="13"/>
        <v>9.64E-2</v>
      </c>
      <c r="R24" s="55">
        <f t="shared" si="13"/>
        <v>9.4300000000000009E-2</v>
      </c>
      <c r="V24" s="65"/>
    </row>
    <row r="25" spans="1:26" x14ac:dyDescent="0.2">
      <c r="A25" s="39">
        <v>21</v>
      </c>
      <c r="B25" s="56">
        <v>18</v>
      </c>
      <c r="C25" s="52">
        <f t="shared" si="8"/>
        <v>0.17159999999999989</v>
      </c>
      <c r="D25" s="53">
        <v>0.16937857142857099</v>
      </c>
      <c r="E25" s="54">
        <v>0.16721333333333299</v>
      </c>
      <c r="F25" s="55">
        <f t="shared" si="9"/>
        <v>0.16500000000000004</v>
      </c>
      <c r="G25" s="52">
        <v>0.13689999999999999</v>
      </c>
      <c r="H25" s="53">
        <v>0.13469999999999999</v>
      </c>
      <c r="I25" s="54">
        <v>0.13250000000000001</v>
      </c>
      <c r="J25" s="55">
        <v>0.1303</v>
      </c>
      <c r="K25" s="52">
        <f t="shared" si="11"/>
        <v>0.11219999999999991</v>
      </c>
      <c r="L25" s="53">
        <f t="shared" si="7"/>
        <v>0.10999999999999999</v>
      </c>
      <c r="M25" s="54">
        <f t="shared" si="12"/>
        <v>0.10780000000000001</v>
      </c>
      <c r="N25" s="55">
        <f t="shared" si="12"/>
        <v>0.10560000000000005</v>
      </c>
      <c r="O25" s="52">
        <f t="shared" si="13"/>
        <v>0.1023</v>
      </c>
      <c r="P25" s="53">
        <f t="shared" si="13"/>
        <v>0.10010000000000001</v>
      </c>
      <c r="Q25" s="54">
        <f t="shared" si="13"/>
        <v>9.7900000000000001E-2</v>
      </c>
      <c r="R25" s="55">
        <v>9.5699999999999993E-2</v>
      </c>
      <c r="V25" s="65"/>
    </row>
    <row r="26" spans="1:26" x14ac:dyDescent="0.2">
      <c r="A26" s="39">
        <v>22</v>
      </c>
      <c r="B26" s="56">
        <v>19</v>
      </c>
      <c r="C26" s="52">
        <f t="shared" si="8"/>
        <v>0.17419999999999988</v>
      </c>
      <c r="D26" s="53">
        <v>0.17199999999999999</v>
      </c>
      <c r="E26" s="54">
        <v>0.169748333333333</v>
      </c>
      <c r="F26" s="55">
        <f t="shared" si="9"/>
        <v>0.16750000000000004</v>
      </c>
      <c r="G26" s="52">
        <v>0.13900000000000001</v>
      </c>
      <c r="H26" s="53">
        <v>0.1368</v>
      </c>
      <c r="I26" s="54">
        <v>0.1346</v>
      </c>
      <c r="J26" s="55">
        <f t="shared" si="15"/>
        <v>0.1323</v>
      </c>
      <c r="K26" s="52">
        <f t="shared" si="11"/>
        <v>0.1138999999999999</v>
      </c>
      <c r="L26" s="53">
        <f t="shared" si="7"/>
        <v>0.11169999999999998</v>
      </c>
      <c r="M26" s="54">
        <f t="shared" si="12"/>
        <v>0.10940000000000001</v>
      </c>
      <c r="N26" s="55">
        <f t="shared" si="12"/>
        <v>0.10720000000000006</v>
      </c>
      <c r="O26" s="52">
        <v>0.10390000000000001</v>
      </c>
      <c r="P26" s="53">
        <f t="shared" si="13"/>
        <v>0.10160000000000001</v>
      </c>
      <c r="Q26" s="54">
        <f t="shared" si="13"/>
        <v>9.9400000000000002E-2</v>
      </c>
      <c r="R26" s="55">
        <f t="shared" si="13"/>
        <v>9.7199999999999995E-2</v>
      </c>
      <c r="V26" s="65"/>
    </row>
    <row r="27" spans="1:26" x14ac:dyDescent="0.2">
      <c r="A27" s="39">
        <v>23</v>
      </c>
      <c r="B27" s="56">
        <v>20</v>
      </c>
      <c r="C27" s="52">
        <f t="shared" si="8"/>
        <v>0.17679999999999987</v>
      </c>
      <c r="D27" s="53">
        <v>0.174507142857143</v>
      </c>
      <c r="E27" s="54">
        <v>0.17228333333333301</v>
      </c>
      <c r="F27" s="55">
        <f t="shared" si="9"/>
        <v>0.17000000000000004</v>
      </c>
      <c r="G27" s="52">
        <v>0.1411</v>
      </c>
      <c r="H27" s="53">
        <v>0.13880000000000001</v>
      </c>
      <c r="I27" s="54">
        <f t="shared" ref="I27" si="29">I26+0.002</f>
        <v>0.1366</v>
      </c>
      <c r="J27" s="55">
        <f t="shared" si="15"/>
        <v>0.1343</v>
      </c>
      <c r="K27" s="52">
        <f t="shared" si="11"/>
        <v>0.1155999999999999</v>
      </c>
      <c r="L27" s="53">
        <v>0.1133</v>
      </c>
      <c r="M27" s="54">
        <v>0.1111</v>
      </c>
      <c r="N27" s="55">
        <f t="shared" si="12"/>
        <v>0.10880000000000006</v>
      </c>
      <c r="O27" s="52">
        <f t="shared" si="13"/>
        <v>0.10540000000000001</v>
      </c>
      <c r="P27" s="53">
        <f t="shared" si="13"/>
        <v>0.10310000000000001</v>
      </c>
      <c r="Q27" s="54">
        <f t="shared" si="13"/>
        <v>0.1009</v>
      </c>
      <c r="R27" s="55">
        <v>9.8599999999999993E-2</v>
      </c>
    </row>
    <row r="28" spans="1:26" x14ac:dyDescent="0.2">
      <c r="A28" s="39">
        <v>24</v>
      </c>
      <c r="B28" s="56">
        <v>21</v>
      </c>
      <c r="C28" s="52">
        <f t="shared" si="8"/>
        <v>0.17939999999999987</v>
      </c>
      <c r="D28" s="53">
        <v>0.17707142857142899</v>
      </c>
      <c r="E28" s="54">
        <v>0.17481833333333299</v>
      </c>
      <c r="F28" s="55">
        <f t="shared" si="9"/>
        <v>0.17250000000000004</v>
      </c>
      <c r="G28" s="52">
        <v>0.14319999999999999</v>
      </c>
      <c r="H28" s="53">
        <v>0.1409</v>
      </c>
      <c r="I28" s="54">
        <f t="shared" ref="I28" si="30">I27+0.002</f>
        <v>0.1386</v>
      </c>
      <c r="J28" s="55">
        <f t="shared" si="15"/>
        <v>0.1363</v>
      </c>
      <c r="K28" s="52">
        <f t="shared" si="11"/>
        <v>0.11729999999999989</v>
      </c>
      <c r="L28" s="53">
        <f t="shared" si="7"/>
        <v>0.11499999999999999</v>
      </c>
      <c r="M28" s="54">
        <f t="shared" si="12"/>
        <v>0.11270000000000001</v>
      </c>
      <c r="N28" s="55">
        <f t="shared" si="12"/>
        <v>0.11040000000000007</v>
      </c>
      <c r="O28" s="52">
        <f t="shared" si="13"/>
        <v>0.10690000000000001</v>
      </c>
      <c r="P28" s="53">
        <f t="shared" si="13"/>
        <v>0.10460000000000001</v>
      </c>
      <c r="Q28" s="54">
        <v>0.1023</v>
      </c>
      <c r="R28" s="55">
        <v>0.1</v>
      </c>
    </row>
    <row r="29" spans="1:26" x14ac:dyDescent="0.2">
      <c r="A29" s="39">
        <v>25</v>
      </c>
      <c r="B29" s="56">
        <v>22</v>
      </c>
      <c r="C29" s="52">
        <f t="shared" si="8"/>
        <v>0.18199999999999986</v>
      </c>
      <c r="D29" s="53">
        <v>0.1797</v>
      </c>
      <c r="E29" s="54">
        <v>0.17730000000000001</v>
      </c>
      <c r="F29" s="55">
        <f t="shared" si="9"/>
        <v>0.17500000000000004</v>
      </c>
      <c r="G29" s="52">
        <v>0.14530000000000001</v>
      </c>
      <c r="H29" s="53">
        <v>0.1429</v>
      </c>
      <c r="I29" s="54">
        <f t="shared" ref="I29" si="31">I28+0.002</f>
        <v>0.1406</v>
      </c>
      <c r="J29" s="55">
        <f t="shared" si="15"/>
        <v>0.13830000000000001</v>
      </c>
      <c r="K29" s="52">
        <f t="shared" si="11"/>
        <v>0.11899999999999988</v>
      </c>
      <c r="L29" s="53">
        <f t="shared" si="11"/>
        <v>0.11669999999999998</v>
      </c>
      <c r="M29" s="54">
        <f t="shared" si="12"/>
        <v>0.11430000000000001</v>
      </c>
      <c r="N29" s="55">
        <f t="shared" si="12"/>
        <v>0.11200000000000007</v>
      </c>
      <c r="O29" s="52">
        <v>0.1085</v>
      </c>
      <c r="P29" s="53">
        <v>0.1062</v>
      </c>
      <c r="Q29" s="54">
        <f t="shared" si="13"/>
        <v>0.1038</v>
      </c>
      <c r="R29" s="55">
        <f t="shared" si="13"/>
        <v>0.10150000000000001</v>
      </c>
    </row>
    <row r="30" spans="1:26" x14ac:dyDescent="0.2">
      <c r="A30" s="39">
        <v>26</v>
      </c>
      <c r="B30" s="56">
        <v>23</v>
      </c>
      <c r="C30" s="52">
        <f t="shared" si="8"/>
        <v>0.18459999999999985</v>
      </c>
      <c r="D30" s="53">
        <v>0.1822</v>
      </c>
      <c r="E30" s="54">
        <v>0.17988833333333301</v>
      </c>
      <c r="F30" s="55">
        <f t="shared" si="9"/>
        <v>0.17750000000000005</v>
      </c>
      <c r="G30" s="52">
        <v>0.14729999999999999</v>
      </c>
      <c r="H30" s="53">
        <v>0.14499999999999999</v>
      </c>
      <c r="I30" s="54">
        <f t="shared" ref="I30" si="32">I29+0.002</f>
        <v>0.1426</v>
      </c>
      <c r="J30" s="55">
        <v>0.14019999999999999</v>
      </c>
      <c r="K30" s="52">
        <f t="shared" ref="K30:L31" si="33">K29+0.0017</f>
        <v>0.12069999999999988</v>
      </c>
      <c r="L30" s="53">
        <v>0.1183</v>
      </c>
      <c r="M30" s="54">
        <v>0.11600000000000001</v>
      </c>
      <c r="N30" s="55">
        <f t="shared" ref="N30:N31" si="34">N29+0.0016</f>
        <v>0.11360000000000008</v>
      </c>
      <c r="O30" s="52">
        <f t="shared" ref="O30:R31" si="35">O29+0.0015</f>
        <v>0.11</v>
      </c>
      <c r="P30" s="53">
        <f t="shared" si="35"/>
        <v>0.1077</v>
      </c>
      <c r="Q30" s="54">
        <f t="shared" si="35"/>
        <v>0.1053</v>
      </c>
      <c r="R30" s="55">
        <v>0.10290000000000001</v>
      </c>
    </row>
    <row r="31" spans="1:26" ht="16" thickBot="1" x14ac:dyDescent="0.25">
      <c r="A31" s="39">
        <v>27</v>
      </c>
      <c r="B31" s="66">
        <v>24</v>
      </c>
      <c r="C31" s="67">
        <f t="shared" si="8"/>
        <v>0.18719999999999984</v>
      </c>
      <c r="D31" s="68">
        <v>0.18476428571428599</v>
      </c>
      <c r="E31" s="69">
        <v>0.18242333333333299</v>
      </c>
      <c r="F31" s="70">
        <f t="shared" si="9"/>
        <v>0.18000000000000005</v>
      </c>
      <c r="G31" s="67">
        <v>0.14940000000000001</v>
      </c>
      <c r="H31" s="68">
        <v>0.14699999999999999</v>
      </c>
      <c r="I31" s="69">
        <f t="shared" ref="I31" si="36">I30+0.002</f>
        <v>0.14460000000000001</v>
      </c>
      <c r="J31" s="70">
        <f t="shared" ref="J31" si="37">J30+0.002</f>
        <v>0.14219999999999999</v>
      </c>
      <c r="K31" s="67">
        <f t="shared" si="33"/>
        <v>0.12239999999999987</v>
      </c>
      <c r="L31" s="68">
        <f t="shared" si="33"/>
        <v>0.12</v>
      </c>
      <c r="M31" s="69">
        <f t="shared" ref="M31" si="38">M30+0.0016</f>
        <v>0.11760000000000001</v>
      </c>
      <c r="N31" s="70">
        <f t="shared" si="34"/>
        <v>0.11520000000000008</v>
      </c>
      <c r="O31" s="67">
        <v>0.1116</v>
      </c>
      <c r="P31" s="68">
        <f t="shared" si="35"/>
        <v>0.10920000000000001</v>
      </c>
      <c r="Q31" s="69">
        <f t="shared" si="35"/>
        <v>0.10680000000000001</v>
      </c>
      <c r="R31" s="70">
        <f t="shared" si="35"/>
        <v>0.10440000000000001</v>
      </c>
    </row>
    <row r="32" spans="1:26" x14ac:dyDescent="0.2">
      <c r="E32" s="71"/>
    </row>
    <row r="33" spans="4:7" x14ac:dyDescent="0.2">
      <c r="D33" s="251" t="s">
        <v>91</v>
      </c>
      <c r="E33" s="252"/>
      <c r="F33" s="252"/>
      <c r="G33" t="s">
        <v>92</v>
      </c>
    </row>
    <row r="34" spans="4:7" x14ac:dyDescent="0.2">
      <c r="D34" s="253" t="s">
        <v>93</v>
      </c>
      <c r="E34" s="254"/>
      <c r="F34" s="254"/>
      <c r="G34" t="s">
        <v>94</v>
      </c>
    </row>
    <row r="35" spans="4:7" x14ac:dyDescent="0.2">
      <c r="D35" s="255" t="s">
        <v>95</v>
      </c>
      <c r="E35" s="256"/>
      <c r="F35" s="256"/>
      <c r="G35" t="s">
        <v>96</v>
      </c>
    </row>
    <row r="36" spans="4:7" x14ac:dyDescent="0.2">
      <c r="D36" s="257" t="s">
        <v>97</v>
      </c>
      <c r="E36" s="258"/>
      <c r="F36" s="258"/>
      <c r="G36" t="s">
        <v>98</v>
      </c>
    </row>
  </sheetData>
  <sheetProtection algorithmName="SHA-512" hashValue="CPJXExZFx73WYrupUwvgiS1e1KmTj8vGutsWFlZ5VUQIQgmJZQoUt6S6t2wRGo76NJixwSMR/Kc4pRRH2uAgWQ==" saltValue="sO2U+gXvvJKSMKmI+n8ooQ==" spinCount="100000" sheet="1" objects="1" scenarios="1" selectLockedCells="1"/>
  <mergeCells count="5">
    <mergeCell ref="C2:R2"/>
    <mergeCell ref="D33:F33"/>
    <mergeCell ref="D34:F34"/>
    <mergeCell ref="D35:F35"/>
    <mergeCell ref="D36:F36"/>
  </mergeCells>
  <pageMargins left="0.7" right="0.7" top="0.75" bottom="0.75" header="0.3" footer="0.3"/>
  <pageSetup fitToHeight="0" orientation="landscape" r:id="rId1"/>
  <headerFooter>
    <oddHeader>&amp;L&amp;"Calibri,Standaard"&amp;K000000&amp;G</oddHeader>
  </headerFooter>
  <drawing r:id="rId2"/>
  <legacyDrawingHF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WELKOM</vt:lpstr>
      <vt:lpstr>Berekening verblijf+overschrijd</vt:lpstr>
      <vt:lpstr>Berekening enkel verblijfsgebon</vt:lpstr>
      <vt:lpstr>Vergelijking indien kindrek</vt:lpstr>
      <vt:lpstr>Berekening verblijf vrij</vt:lpstr>
      <vt:lpstr>Tabel</vt:lpstr>
      <vt:lpstr>'Berekening verblijf+overschrijd'!Afdrukbereik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krisw</dc:creator>
  <cp:lastModifiedBy>Microsoft Office User</cp:lastModifiedBy>
  <cp:lastPrinted>2020-01-09T10:41:31Z</cp:lastPrinted>
  <dcterms:created xsi:type="dcterms:W3CDTF">2019-08-28T11:37:16Z</dcterms:created>
  <dcterms:modified xsi:type="dcterms:W3CDTF">2020-04-23T14:34:39Z</dcterms:modified>
</cp:coreProperties>
</file>